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DE31" lockStructure="1"/>
  <bookViews>
    <workbookView xWindow="0" yWindow="120" windowWidth="20490" windowHeight="6945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SAP'!$A$2:$I$25</definedName>
    <definedName name="_xlnm.Print_Area" localSheetId="2">'Plan rashoda za unos u SAP'!$A$2:$K$81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H50" i="14" l="1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6" i="13" l="1"/>
  <c r="P103" i="13"/>
  <c r="P101" i="13"/>
  <c r="P99" i="13"/>
  <c r="P96" i="13"/>
  <c r="P94" i="13"/>
  <c r="P92" i="13"/>
  <c r="P90" i="13"/>
  <c r="P88" i="13"/>
  <c r="P86" i="13"/>
  <c r="P84" i="13"/>
  <c r="P70" i="13"/>
  <c r="P67" i="13"/>
  <c r="P65" i="13"/>
  <c r="P63" i="13"/>
  <c r="P60" i="13"/>
  <c r="P58" i="13"/>
  <c r="P56" i="13"/>
  <c r="P54" i="13"/>
  <c r="P52" i="13"/>
  <c r="P50" i="13"/>
  <c r="P48" i="13"/>
  <c r="P35" i="13"/>
  <c r="P32" i="13"/>
  <c r="P30" i="13"/>
  <c r="P28" i="13"/>
  <c r="P25" i="13"/>
  <c r="P23" i="13"/>
  <c r="P21" i="13"/>
  <c r="P19" i="13"/>
  <c r="P17" i="13"/>
  <c r="P15" i="13"/>
  <c r="P13" i="13"/>
  <c r="P11" i="13"/>
  <c r="P104" i="13"/>
  <c r="P102" i="13"/>
  <c r="P100" i="13"/>
  <c r="P97" i="13"/>
  <c r="P95" i="13"/>
  <c r="P93" i="13"/>
  <c r="P91" i="13"/>
  <c r="P89" i="13"/>
  <c r="P87" i="13"/>
  <c r="P85" i="13"/>
  <c r="P83" i="13"/>
  <c r="P68" i="13"/>
  <c r="P66" i="13"/>
  <c r="P64" i="13"/>
  <c r="P61" i="13"/>
  <c r="P59" i="13"/>
  <c r="P57" i="13"/>
  <c r="P55" i="13"/>
  <c r="P53" i="13"/>
  <c r="P51" i="13"/>
  <c r="P49" i="13"/>
  <c r="P47" i="13"/>
  <c r="P34" i="13"/>
  <c r="P31" i="13"/>
  <c r="P29" i="13"/>
  <c r="P27" i="13"/>
  <c r="P24" i="13"/>
  <c r="P22" i="13"/>
  <c r="P20" i="13"/>
  <c r="P18" i="13"/>
  <c r="P16" i="13"/>
  <c r="P14" i="13"/>
  <c r="P12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L108" i="14"/>
  <c r="K108" i="14"/>
  <c r="J108" i="14"/>
  <c r="E108" i="14"/>
  <c r="O107" i="14"/>
  <c r="N107" i="14"/>
  <c r="M107" i="14"/>
  <c r="L107" i="14"/>
  <c r="K107" i="14"/>
  <c r="J107" i="14"/>
  <c r="E107" i="14"/>
  <c r="O105" i="14"/>
  <c r="N105" i="14"/>
  <c r="M105" i="14"/>
  <c r="L105" i="14"/>
  <c r="K105" i="14"/>
  <c r="J105" i="14"/>
  <c r="E105" i="14"/>
  <c r="O104" i="14"/>
  <c r="N104" i="14"/>
  <c r="M104" i="14"/>
  <c r="L104" i="14"/>
  <c r="K104" i="14"/>
  <c r="J104" i="14"/>
  <c r="E104" i="14"/>
  <c r="O103" i="14"/>
  <c r="N103" i="14"/>
  <c r="M103" i="14"/>
  <c r="L103" i="14"/>
  <c r="K103" i="14"/>
  <c r="J103" i="14"/>
  <c r="E103" i="14"/>
  <c r="O102" i="14"/>
  <c r="N102" i="14"/>
  <c r="M102" i="14"/>
  <c r="L102" i="14"/>
  <c r="K102" i="14"/>
  <c r="J102" i="14"/>
  <c r="E102" i="14"/>
  <c r="O101" i="14"/>
  <c r="N101" i="14"/>
  <c r="M101" i="14"/>
  <c r="L101" i="14"/>
  <c r="K101" i="14"/>
  <c r="J101" i="14"/>
  <c r="E101" i="14"/>
  <c r="O99" i="14"/>
  <c r="N99" i="14"/>
  <c r="M99" i="14"/>
  <c r="L99" i="14"/>
  <c r="K99" i="14"/>
  <c r="J99" i="14"/>
  <c r="E99" i="14"/>
  <c r="O98" i="14"/>
  <c r="N98" i="14"/>
  <c r="M98" i="14"/>
  <c r="L98" i="14"/>
  <c r="K98" i="14"/>
  <c r="J98" i="14"/>
  <c r="E98" i="14"/>
  <c r="O97" i="14"/>
  <c r="N97" i="14"/>
  <c r="M97" i="14"/>
  <c r="L97" i="14"/>
  <c r="K97" i="14"/>
  <c r="J97" i="14"/>
  <c r="E97" i="14"/>
  <c r="O96" i="14"/>
  <c r="N96" i="14"/>
  <c r="M96" i="14"/>
  <c r="L96" i="14"/>
  <c r="K96" i="14"/>
  <c r="J96" i="14"/>
  <c r="E96" i="14"/>
  <c r="O95" i="14"/>
  <c r="N95" i="14"/>
  <c r="M95" i="14"/>
  <c r="L95" i="14"/>
  <c r="K95" i="14"/>
  <c r="J95" i="14"/>
  <c r="E95" i="14"/>
  <c r="O94" i="14"/>
  <c r="N94" i="14"/>
  <c r="M94" i="14"/>
  <c r="L94" i="14"/>
  <c r="K94" i="14"/>
  <c r="J94" i="14"/>
  <c r="E94" i="14"/>
  <c r="O93" i="14"/>
  <c r="N93" i="14"/>
  <c r="M93" i="14"/>
  <c r="L93" i="14"/>
  <c r="K93" i="14"/>
  <c r="J93" i="14"/>
  <c r="E93" i="14"/>
  <c r="E81" i="14"/>
  <c r="J81" i="14"/>
  <c r="K81" i="14"/>
  <c r="L81" i="14"/>
  <c r="M81" i="14"/>
  <c r="N81" i="14"/>
  <c r="O81" i="14"/>
  <c r="E82" i="14"/>
  <c r="J82" i="14"/>
  <c r="K82" i="14"/>
  <c r="L82" i="14"/>
  <c r="M82" i="14"/>
  <c r="N82" i="14"/>
  <c r="O82" i="14"/>
  <c r="E83" i="14"/>
  <c r="J83" i="14"/>
  <c r="K83" i="14"/>
  <c r="L83" i="14"/>
  <c r="M83" i="14"/>
  <c r="N83" i="14"/>
  <c r="O83" i="14"/>
  <c r="E84" i="14"/>
  <c r="J84" i="14"/>
  <c r="K84" i="14"/>
  <c r="L84" i="14"/>
  <c r="M84" i="14"/>
  <c r="N84" i="14"/>
  <c r="O84" i="14"/>
  <c r="E85" i="14"/>
  <c r="J85" i="14"/>
  <c r="K85" i="14"/>
  <c r="L85" i="14"/>
  <c r="M85" i="14"/>
  <c r="N85" i="14"/>
  <c r="O85" i="14"/>
  <c r="E87" i="14"/>
  <c r="J87" i="14"/>
  <c r="K87" i="14"/>
  <c r="L87" i="14"/>
  <c r="M87" i="14"/>
  <c r="N87" i="14"/>
  <c r="O87" i="14"/>
  <c r="O88" i="14"/>
  <c r="N88" i="14"/>
  <c r="M88" i="14"/>
  <c r="L88" i="14"/>
  <c r="K88" i="14"/>
  <c r="J88" i="14"/>
  <c r="E88" i="14"/>
  <c r="O79" i="14"/>
  <c r="N79" i="14"/>
  <c r="M79" i="14"/>
  <c r="L79" i="14"/>
  <c r="K79" i="14"/>
  <c r="J79" i="14"/>
  <c r="E79" i="14"/>
  <c r="O78" i="14"/>
  <c r="N78" i="14"/>
  <c r="M78" i="14"/>
  <c r="L78" i="14"/>
  <c r="K78" i="14"/>
  <c r="J78" i="14"/>
  <c r="E78" i="14"/>
  <c r="O77" i="14"/>
  <c r="N77" i="14"/>
  <c r="M77" i="14"/>
  <c r="L77" i="14"/>
  <c r="K77" i="14"/>
  <c r="J77" i="14"/>
  <c r="E77" i="14"/>
  <c r="O76" i="14"/>
  <c r="N76" i="14"/>
  <c r="M76" i="14"/>
  <c r="L76" i="14"/>
  <c r="K76" i="14"/>
  <c r="J76" i="14"/>
  <c r="E76" i="14"/>
  <c r="O75" i="14"/>
  <c r="N75" i="14"/>
  <c r="M75" i="14"/>
  <c r="L75" i="14"/>
  <c r="K75" i="14"/>
  <c r="J75" i="14"/>
  <c r="E75" i="14"/>
  <c r="O74" i="14"/>
  <c r="N74" i="14"/>
  <c r="M74" i="14"/>
  <c r="L74" i="14"/>
  <c r="K74" i="14"/>
  <c r="J74" i="14"/>
  <c r="E74" i="14"/>
  <c r="O73" i="14"/>
  <c r="N73" i="14"/>
  <c r="M73" i="14"/>
  <c r="L73" i="14"/>
  <c r="K73" i="14"/>
  <c r="J73" i="14"/>
  <c r="E73" i="14"/>
  <c r="E86" i="14" l="1"/>
  <c r="P86" i="14"/>
  <c r="L86" i="14"/>
  <c r="M86" i="14"/>
  <c r="O86" i="14"/>
  <c r="K86" i="14"/>
  <c r="N86" i="14"/>
  <c r="J86" i="14"/>
  <c r="O68" i="14"/>
  <c r="N68" i="14"/>
  <c r="M68" i="14"/>
  <c r="L68" i="14"/>
  <c r="K68" i="14"/>
  <c r="J68" i="14"/>
  <c r="H68" i="14"/>
  <c r="E68" i="14"/>
  <c r="O67" i="14"/>
  <c r="N67" i="14"/>
  <c r="M67" i="14"/>
  <c r="L67" i="14"/>
  <c r="K67" i="14"/>
  <c r="J67" i="14"/>
  <c r="H67" i="14"/>
  <c r="E67" i="14"/>
  <c r="O66" i="14"/>
  <c r="N66" i="14"/>
  <c r="M66" i="14"/>
  <c r="L66" i="14"/>
  <c r="K66" i="14"/>
  <c r="J66" i="14"/>
  <c r="H66" i="14"/>
  <c r="E66" i="14"/>
  <c r="O65" i="14"/>
  <c r="N65" i="14"/>
  <c r="M65" i="14"/>
  <c r="L65" i="14"/>
  <c r="K65" i="14"/>
  <c r="J65" i="14"/>
  <c r="H65" i="14"/>
  <c r="E65" i="14"/>
  <c r="O64" i="14"/>
  <c r="N64" i="14"/>
  <c r="M64" i="14"/>
  <c r="L64" i="14"/>
  <c r="K64" i="14"/>
  <c r="J64" i="14"/>
  <c r="H64" i="14"/>
  <c r="E64" i="14"/>
  <c r="O62" i="14"/>
  <c r="N62" i="14"/>
  <c r="M62" i="14"/>
  <c r="L62" i="14"/>
  <c r="K62" i="14"/>
  <c r="J62" i="14"/>
  <c r="H62" i="14"/>
  <c r="E62" i="14"/>
  <c r="O61" i="14"/>
  <c r="N61" i="14"/>
  <c r="M61" i="14"/>
  <c r="L61" i="14"/>
  <c r="K61" i="14"/>
  <c r="J61" i="14"/>
  <c r="H61" i="14"/>
  <c r="E61" i="14"/>
  <c r="O60" i="14"/>
  <c r="N60" i="14"/>
  <c r="M60" i="14"/>
  <c r="L60" i="14"/>
  <c r="K60" i="14"/>
  <c r="J60" i="14"/>
  <c r="H60" i="14"/>
  <c r="E60" i="14"/>
  <c r="O57" i="14"/>
  <c r="N57" i="14"/>
  <c r="M57" i="14"/>
  <c r="L57" i="14"/>
  <c r="K57" i="14"/>
  <c r="J57" i="14"/>
  <c r="H57" i="14"/>
  <c r="E57" i="14"/>
  <c r="O56" i="14"/>
  <c r="N56" i="14"/>
  <c r="M56" i="14"/>
  <c r="L56" i="14"/>
  <c r="K56" i="14"/>
  <c r="J56" i="14"/>
  <c r="H56" i="14"/>
  <c r="E56" i="14"/>
  <c r="O55" i="14"/>
  <c r="N55" i="14"/>
  <c r="M55" i="14"/>
  <c r="L55" i="14"/>
  <c r="K55" i="14"/>
  <c r="J55" i="14"/>
  <c r="H55" i="14"/>
  <c r="E55" i="14"/>
  <c r="O54" i="14"/>
  <c r="N54" i="14"/>
  <c r="M54" i="14"/>
  <c r="L54" i="14"/>
  <c r="K54" i="14"/>
  <c r="J54" i="14"/>
  <c r="H54" i="14"/>
  <c r="E54" i="14"/>
  <c r="O52" i="14"/>
  <c r="N52" i="14"/>
  <c r="M52" i="14"/>
  <c r="L52" i="14"/>
  <c r="K52" i="14"/>
  <c r="J52" i="14"/>
  <c r="H52" i="14"/>
  <c r="E52" i="14"/>
  <c r="O48" i="14"/>
  <c r="N48" i="14"/>
  <c r="M48" i="14"/>
  <c r="L48" i="14"/>
  <c r="K48" i="14"/>
  <c r="J48" i="14"/>
  <c r="H48" i="14"/>
  <c r="E48" i="14"/>
  <c r="O47" i="14"/>
  <c r="N47" i="14"/>
  <c r="M47" i="14"/>
  <c r="L47" i="14"/>
  <c r="K47" i="14"/>
  <c r="J47" i="14"/>
  <c r="H47" i="14"/>
  <c r="E47" i="14"/>
  <c r="O46" i="14"/>
  <c r="N46" i="14"/>
  <c r="M46" i="14"/>
  <c r="L46" i="14"/>
  <c r="K46" i="14"/>
  <c r="J46" i="14"/>
  <c r="H46" i="14"/>
  <c r="E46" i="14"/>
  <c r="O45" i="14"/>
  <c r="N45" i="14"/>
  <c r="M45" i="14"/>
  <c r="L45" i="14"/>
  <c r="K45" i="14"/>
  <c r="J45" i="14"/>
  <c r="H45" i="14"/>
  <c r="E45" i="14"/>
  <c r="O44" i="14"/>
  <c r="N44" i="14"/>
  <c r="M44" i="14"/>
  <c r="L44" i="14"/>
  <c r="K44" i="14"/>
  <c r="J44" i="14"/>
  <c r="H44" i="14"/>
  <c r="E44" i="14"/>
  <c r="O43" i="14"/>
  <c r="N43" i="14"/>
  <c r="M43" i="14"/>
  <c r="L43" i="14"/>
  <c r="K43" i="14"/>
  <c r="J43" i="14"/>
  <c r="H43" i="14"/>
  <c r="E43" i="14"/>
  <c r="O41" i="14"/>
  <c r="N41" i="14"/>
  <c r="M41" i="14"/>
  <c r="L41" i="14"/>
  <c r="K41" i="14"/>
  <c r="J41" i="14"/>
  <c r="H41" i="14"/>
  <c r="E41" i="14"/>
  <c r="O40" i="14"/>
  <c r="N40" i="14"/>
  <c r="M40" i="14"/>
  <c r="L40" i="14"/>
  <c r="K40" i="14"/>
  <c r="J40" i="14"/>
  <c r="H40" i="14"/>
  <c r="E40" i="14"/>
  <c r="K59" i="14" l="1"/>
  <c r="M59" i="14"/>
  <c r="O59" i="14"/>
  <c r="H63" i="14"/>
  <c r="H59" i="14"/>
  <c r="J59" i="14"/>
  <c r="L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L37" i="14"/>
  <c r="K37" i="14"/>
  <c r="J37" i="14"/>
  <c r="H37" i="14"/>
  <c r="E37" i="14"/>
  <c r="O36" i="14"/>
  <c r="N36" i="14"/>
  <c r="M36" i="14"/>
  <c r="L36" i="14"/>
  <c r="K36" i="14"/>
  <c r="J36" i="14"/>
  <c r="H36" i="14"/>
  <c r="E36" i="14"/>
  <c r="O35" i="14"/>
  <c r="N35" i="14"/>
  <c r="M35" i="14"/>
  <c r="L35" i="14"/>
  <c r="K35" i="14"/>
  <c r="J35" i="14"/>
  <c r="H35" i="14"/>
  <c r="E35" i="14"/>
  <c r="O34" i="14"/>
  <c r="N34" i="14"/>
  <c r="M34" i="14"/>
  <c r="L34" i="14"/>
  <c r="K34" i="14"/>
  <c r="J34" i="14"/>
  <c r="H34" i="14"/>
  <c r="E34" i="14"/>
  <c r="O32" i="14"/>
  <c r="N32" i="14"/>
  <c r="M32" i="14"/>
  <c r="L32" i="14"/>
  <c r="K32" i="14"/>
  <c r="J32" i="14"/>
  <c r="H32" i="14"/>
  <c r="E32" i="14"/>
  <c r="O31" i="14"/>
  <c r="N31" i="14"/>
  <c r="M31" i="14"/>
  <c r="L31" i="14"/>
  <c r="K31" i="14"/>
  <c r="J31" i="14"/>
  <c r="H31" i="14"/>
  <c r="E31" i="14"/>
  <c r="O29" i="14"/>
  <c r="N29" i="14"/>
  <c r="M29" i="14"/>
  <c r="L29" i="14"/>
  <c r="K29" i="14"/>
  <c r="J29" i="14"/>
  <c r="H29" i="14"/>
  <c r="E29" i="14"/>
  <c r="O28" i="14"/>
  <c r="N28" i="14"/>
  <c r="M28" i="14"/>
  <c r="L28" i="14"/>
  <c r="K28" i="14"/>
  <c r="J28" i="14"/>
  <c r="H28" i="14"/>
  <c r="E28" i="14"/>
  <c r="O27" i="14"/>
  <c r="N27" i="14"/>
  <c r="M27" i="14"/>
  <c r="L27" i="14"/>
  <c r="K27" i="14"/>
  <c r="J27" i="14"/>
  <c r="H27" i="14"/>
  <c r="E27" i="14"/>
  <c r="O26" i="14"/>
  <c r="N26" i="14"/>
  <c r="M26" i="14"/>
  <c r="L26" i="14"/>
  <c r="K26" i="14"/>
  <c r="J26" i="14"/>
  <c r="H26" i="14"/>
  <c r="E26" i="14"/>
  <c r="O25" i="14"/>
  <c r="N25" i="14"/>
  <c r="M25" i="14"/>
  <c r="L25" i="14"/>
  <c r="K25" i="14"/>
  <c r="J25" i="14"/>
  <c r="H25" i="14"/>
  <c r="E25" i="14"/>
  <c r="O24" i="14"/>
  <c r="N24" i="14"/>
  <c r="M24" i="14"/>
  <c r="L24" i="14"/>
  <c r="K24" i="14"/>
  <c r="J24" i="14"/>
  <c r="H24" i="14"/>
  <c r="E24" i="14"/>
  <c r="O22" i="14"/>
  <c r="N22" i="14"/>
  <c r="M22" i="14"/>
  <c r="L22" i="14"/>
  <c r="K22" i="14"/>
  <c r="J22" i="14"/>
  <c r="H22" i="14"/>
  <c r="E22" i="14"/>
  <c r="O21" i="14"/>
  <c r="N21" i="14"/>
  <c r="M21" i="14"/>
  <c r="L21" i="14"/>
  <c r="K21" i="14"/>
  <c r="J21" i="14"/>
  <c r="H21" i="14"/>
  <c r="E21" i="14"/>
  <c r="O20" i="14"/>
  <c r="N20" i="14"/>
  <c r="M20" i="14"/>
  <c r="L20" i="14"/>
  <c r="K20" i="14"/>
  <c r="J20" i="14"/>
  <c r="H20" i="14"/>
  <c r="E20" i="14"/>
  <c r="O18" i="14"/>
  <c r="N18" i="14"/>
  <c r="M18" i="14"/>
  <c r="L18" i="14"/>
  <c r="K18" i="14"/>
  <c r="J18" i="14"/>
  <c r="H18" i="14"/>
  <c r="E18" i="14"/>
  <c r="O17" i="14"/>
  <c r="N17" i="14"/>
  <c r="M17" i="14"/>
  <c r="L17" i="14"/>
  <c r="K17" i="14"/>
  <c r="J17" i="14"/>
  <c r="H17" i="14"/>
  <c r="E17" i="14"/>
  <c r="O16" i="14"/>
  <c r="N16" i="14"/>
  <c r="M16" i="14"/>
  <c r="L16" i="14"/>
  <c r="K16" i="14"/>
  <c r="J16" i="14"/>
  <c r="H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I14" i="14"/>
  <c r="H14" i="14"/>
  <c r="O13" i="14"/>
  <c r="N13" i="14"/>
  <c r="M13" i="14"/>
  <c r="K13" i="14"/>
  <c r="J13" i="14"/>
  <c r="I13" i="14"/>
  <c r="H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I11" i="14"/>
  <c r="H11" i="14"/>
  <c r="E11" i="14"/>
  <c r="O10" i="14"/>
  <c r="N10" i="14"/>
  <c r="M10" i="14"/>
  <c r="L10" i="14"/>
  <c r="K10" i="14"/>
  <c r="J10" i="14"/>
  <c r="I10" i="14"/>
  <c r="H10" i="14"/>
  <c r="F10" i="14"/>
  <c r="O8" i="14"/>
  <c r="N8" i="14"/>
  <c r="M8" i="14"/>
  <c r="K8" i="14"/>
  <c r="J8" i="14"/>
  <c r="I8" i="14"/>
  <c r="H8" i="14"/>
  <c r="F8" i="14"/>
  <c r="E8" i="14"/>
  <c r="O7" i="14"/>
  <c r="N7" i="14"/>
  <c r="M7" i="14"/>
  <c r="K7" i="14"/>
  <c r="J7" i="14"/>
  <c r="I7" i="14"/>
  <c r="H7" i="14"/>
  <c r="F7" i="14"/>
  <c r="O6" i="14"/>
  <c r="N6" i="14"/>
  <c r="M6" i="14"/>
  <c r="L6" i="14"/>
  <c r="K6" i="14"/>
  <c r="J6" i="14"/>
  <c r="I6" i="14"/>
  <c r="H6" i="14"/>
  <c r="F6" i="14"/>
  <c r="E6" i="14"/>
  <c r="D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G37" i="14" l="1"/>
  <c r="G81" i="14"/>
  <c r="G82" i="14"/>
  <c r="G83" i="14"/>
  <c r="G84" i="14"/>
  <c r="G85" i="14"/>
  <c r="G87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79" i="14"/>
  <c r="G78" i="14"/>
  <c r="G77" i="14"/>
  <c r="G76" i="14"/>
  <c r="G75" i="14"/>
  <c r="G74" i="14"/>
  <c r="G73" i="14"/>
  <c r="G17" i="14"/>
  <c r="G20" i="14"/>
  <c r="G22" i="14"/>
  <c r="G25" i="14"/>
  <c r="G27" i="14"/>
  <c r="G29" i="14"/>
  <c r="G32" i="14"/>
  <c r="G35" i="14"/>
  <c r="G50" i="14"/>
  <c r="G68" i="14"/>
  <c r="G66" i="14"/>
  <c r="G64" i="14"/>
  <c r="G61" i="14"/>
  <c r="G57" i="14"/>
  <c r="G55" i="14"/>
  <c r="G52" i="14"/>
  <c r="G47" i="14"/>
  <c r="G45" i="14"/>
  <c r="G43" i="14"/>
  <c r="G40" i="14"/>
  <c r="G67" i="14"/>
  <c r="G65" i="14"/>
  <c r="G62" i="14"/>
  <c r="G60" i="14"/>
  <c r="G56" i="14"/>
  <c r="G54" i="14"/>
  <c r="G48" i="14"/>
  <c r="G46" i="14"/>
  <c r="G44" i="14"/>
  <c r="G41" i="14"/>
  <c r="G16" i="14"/>
  <c r="G18" i="14"/>
  <c r="G21" i="14"/>
  <c r="G24" i="14"/>
  <c r="G26" i="14"/>
  <c r="G28" i="14"/>
  <c r="G31" i="14"/>
  <c r="G34" i="14"/>
  <c r="G36" i="14"/>
  <c r="F14" i="14"/>
  <c r="F11" i="14"/>
  <c r="F13" i="14"/>
  <c r="F108" i="14"/>
  <c r="F105" i="14"/>
  <c r="F103" i="14"/>
  <c r="F101" i="14"/>
  <c r="F98" i="14"/>
  <c r="F96" i="14"/>
  <c r="F94" i="14"/>
  <c r="F81" i="14"/>
  <c r="F83" i="14"/>
  <c r="F85" i="14"/>
  <c r="F88" i="14"/>
  <c r="F78" i="14"/>
  <c r="F76" i="14"/>
  <c r="F107" i="14"/>
  <c r="F104" i="14"/>
  <c r="F102" i="14"/>
  <c r="F99" i="14"/>
  <c r="F97" i="14"/>
  <c r="F95" i="14"/>
  <c r="F93" i="14"/>
  <c r="F82" i="14"/>
  <c r="F84" i="14"/>
  <c r="F87" i="14"/>
  <c r="F86" i="14" s="1"/>
  <c r="F79" i="14"/>
  <c r="F77" i="14"/>
  <c r="F75" i="14"/>
  <c r="F74" i="14"/>
  <c r="F73" i="14"/>
  <c r="F50" i="14"/>
  <c r="F49" i="14" s="1"/>
  <c r="F68" i="14"/>
  <c r="F67" i="14"/>
  <c r="F66" i="14"/>
  <c r="F65" i="14"/>
  <c r="F64" i="14"/>
  <c r="F62" i="14"/>
  <c r="F61" i="14"/>
  <c r="F60" i="14"/>
  <c r="F57" i="14"/>
  <c r="F56" i="14"/>
  <c r="F55" i="14"/>
  <c r="F54" i="14"/>
  <c r="F52" i="14"/>
  <c r="F48" i="14"/>
  <c r="F47" i="14"/>
  <c r="F46" i="14"/>
  <c r="F45" i="14"/>
  <c r="F44" i="14"/>
  <c r="F43" i="14"/>
  <c r="F41" i="14"/>
  <c r="F40" i="14"/>
  <c r="F16" i="14"/>
  <c r="F17" i="14"/>
  <c r="F18" i="14"/>
  <c r="F20" i="14"/>
  <c r="F21" i="14"/>
  <c r="F22" i="14"/>
  <c r="F24" i="14"/>
  <c r="F25" i="14"/>
  <c r="F26" i="14"/>
  <c r="F27" i="14"/>
  <c r="F28" i="14"/>
  <c r="F29" i="14"/>
  <c r="F31" i="14"/>
  <c r="F32" i="14"/>
  <c r="F34" i="14"/>
  <c r="F35" i="14"/>
  <c r="F36" i="14"/>
  <c r="F37" i="14"/>
  <c r="I36" i="14"/>
  <c r="I81" i="14"/>
  <c r="I82" i="14"/>
  <c r="I83" i="14"/>
  <c r="I84" i="14"/>
  <c r="I85" i="14"/>
  <c r="I8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3" i="14"/>
  <c r="I74" i="14"/>
  <c r="I16" i="14"/>
  <c r="I18" i="14"/>
  <c r="I21" i="14"/>
  <c r="I24" i="14"/>
  <c r="I26" i="14"/>
  <c r="I28" i="14"/>
  <c r="I31" i="14"/>
  <c r="I34" i="14"/>
  <c r="I50" i="14"/>
  <c r="I67" i="14"/>
  <c r="I65" i="14"/>
  <c r="I62" i="14"/>
  <c r="I60" i="14"/>
  <c r="I56" i="14"/>
  <c r="I54" i="14"/>
  <c r="I47" i="14"/>
  <c r="I45" i="14"/>
  <c r="I43" i="14"/>
  <c r="I40" i="14"/>
  <c r="I68" i="14"/>
  <c r="I66" i="14"/>
  <c r="I64" i="14"/>
  <c r="I61" i="14"/>
  <c r="I57" i="14"/>
  <c r="I55" i="14"/>
  <c r="I52" i="14"/>
  <c r="I48" i="14"/>
  <c r="I46" i="14"/>
  <c r="I44" i="14"/>
  <c r="I41" i="14"/>
  <c r="I17" i="14"/>
  <c r="I20" i="14"/>
  <c r="I22" i="14"/>
  <c r="I25" i="14"/>
  <c r="I27" i="14"/>
  <c r="I29" i="14"/>
  <c r="I32" i="14"/>
  <c r="I35" i="14"/>
  <c r="I37" i="14"/>
  <c r="D7" i="14"/>
  <c r="D28" i="14"/>
  <c r="D50" i="14"/>
  <c r="D49" i="14" s="1"/>
  <c r="D40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G86" i="14" l="1"/>
  <c r="I86" i="14"/>
  <c r="I59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<sst xmlns="http://schemas.openxmlformats.org/spreadsheetml/2006/main" count="3294" uniqueCount="1669">
  <si>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</si>
  <si>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</si>
  <si>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</si>
  <si>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</si>
  <si>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</si>
  <si>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</si>
  <si>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</si>
  <si>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</si>
  <si>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</si>
  <si>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</si>
  <si>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</si>
  <si>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</si>
  <si>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</si>
  <si>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</si>
  <si>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</si>
  <si>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</si>
  <si>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</si>
  <si>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</si>
  <si>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</si>
  <si>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</si>
  <si>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</si>
  <si>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</si>
  <si>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</si>
  <si>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</si>
  <si>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</si>
  <si>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</si>
  <si>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</si>
  <si>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</si>
  <si>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</si>
  <si>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</si>
  <si>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</si>
  <si>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</si>
  <si>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</si>
  <si>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</si>
  <si>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</si>
  <si>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</si>
  <si>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</si>
  <si>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</si>
  <si>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</si>
  <si>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</si>
  <si>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</si>
  <si>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</si>
  <si>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</si>
  <si>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</si>
  <si>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</si>
  <si>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</si>
  <si>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</si>
  <si>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</si>
  <si>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</si>
  <si>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</si>
  <si>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</si>
  <si>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</si>
  <si>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</si>
  <si>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</si>
  <si>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</si>
  <si>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</si>
  <si>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</si>
  <si>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</si>
  <si>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</si>
  <si>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</si>
  <si>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</si>
  <si>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</si>
  <si>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</si>
  <si>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</si>
  <si>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</si>
  <si>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</si>
  <si>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</si>
  <si>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</si>
  <si>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</si>
  <si>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</si>
  <si>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</si>
  <si>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</si>
  <si>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</si>
  <si>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</si>
  <si>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</si>
  <si>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</si>
  <si>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</si>
  <si>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</si>
  <si>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</si>
  <si>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</si>
  <si>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</si>
  <si>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</si>
  <si>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</si>
  <si>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</si>
  <si>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</si>
  <si>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</si>
  <si>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</si>
  <si>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</si>
  <si>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</si>
  <si>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</si>
  <si>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</si>
  <si>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</si>
  <si>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</si>
  <si>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</si>
  <si>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</si>
  <si>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</si>
  <si>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</si>
  <si>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</si>
  <si>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</si>
  <si>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</si>
  <si>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</si>
  <si>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</si>
  <si>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</si>
  <si>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</si>
  <si>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</si>
  <si>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</si>
  <si>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</si>
  <si>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</si>
  <si>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</si>
  <si>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</si>
  <si>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</si>
  <si>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</si>
  <si>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</si>
  <si>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</si>
  <si>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</si>
  <si>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</si>
  <si>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</si>
  <si>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</si>
  <si>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</si>
  <si>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</si>
  <si>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</si>
  <si>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</si>
  <si>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</si>
  <si>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</si>
  <si>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</si>
  <si>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</si>
  <si>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</si>
  <si>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</si>
  <si>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</si>
  <si>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</si>
  <si>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</si>
  <si>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</si>
  <si>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</si>
  <si>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</si>
  <si>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</si>
  <si>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</si>
  <si>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</si>
  <si>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</si>
  <si>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</si>
  <si>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</si>
  <si>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</si>
  <si>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</si>
  <si>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</si>
  <si>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</si>
  <si>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</si>
  <si>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</si>
  <si>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</si>
  <si>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</si>
  <si>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</si>
  <si>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</si>
  <si>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</si>
  <si>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</si>
  <si>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</si>
  <si>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</si>
  <si>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</si>
  <si>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</si>
  <si>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</si>
  <si>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</si>
  <si>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</si>
  <si>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</si>
  <si>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</si>
  <si>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</si>
  <si>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</si>
  <si>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</si>
  <si>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</si>
  <si>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</si>
  <si>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</si>
  <si>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</si>
  <si>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</si>
  <si>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</si>
  <si>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</si>
  <si>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</si>
  <si>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</si>
  <si>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</si>
  <si>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</si>
  <si>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</si>
  <si>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</si>
  <si>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</si>
  <si>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</si>
  <si>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</si>
  <si>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</si>
  <si>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</si>
  <si>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</si>
  <si>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</si>
  <si>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</si>
  <si>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</si>
  <si>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</si>
  <si>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</si>
  <si>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</si>
  <si>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</si>
  <si>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</si>
  <si>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</si>
  <si>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</si>
  <si>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</si>
  <si>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</si>
  <si>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</si>
  <si>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</si>
  <si>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</si>
  <si>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</si>
  <si>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</si>
  <si>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</si>
  <si>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</si>
  <si>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</si>
  <si>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</si>
  <si>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</si>
  <si>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</si>
  <si>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</si>
  <si>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</si>
  <si>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</si>
  <si>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</si>
  <si>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</si>
  <si>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</si>
  <si>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</si>
  <si>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</si>
  <si>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</si>
  <si>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</si>
  <si>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</si>
  <si>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</si>
  <si>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</si>
  <si>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</si>
  <si>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</si>
  <si>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</si>
  <si>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</si>
  <si>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</si>
  <si>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</si>
  <si>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</si>
  <si>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</si>
  <si>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</si>
  <si>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</si>
  <si>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</si>
  <si>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</si>
  <si>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</si>
  <si>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</si>
  <si>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</si>
  <si>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</si>
  <si>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</si>
  <si>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</si>
  <si>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</si>
  <si>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</si>
  <si>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</si>
  <si>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</si>
  <si>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</si>
  <si>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</si>
  <si>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</si>
  <si>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</si>
  <si>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</si>
  <si>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</si>
  <si>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</si>
  <si>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</si>
  <si>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</si>
  <si>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</si>
  <si>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</si>
  <si>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</si>
  <si>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</si>
  <si>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</si>
  <si>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</si>
  <si>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</si>
  <si>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</si>
  <si>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</si>
  <si>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</si>
  <si>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</si>
  <si>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</si>
  <si>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</si>
  <si>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</si>
  <si>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</si>
  <si>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</si>
  <si>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</si>
  <si>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</si>
  <si>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</si>
  <si>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</si>
  <si>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</si>
  <si>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</si>
  <si>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</si>
  <si>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</si>
  <si>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</si>
  <si>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</si>
  <si>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</si>
  <si>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</si>
  <si>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</si>
  <si>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</si>
  <si>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</si>
  <si>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</si>
  <si>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</si>
  <si>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</si>
  <si>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</si>
  <si>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</si>
  <si>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</si>
  <si>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</si>
  <si>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</si>
  <si>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</si>
  <si>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</si>
  <si>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</si>
  <si>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</si>
  <si>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</si>
  <si>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</si>
  <si>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</si>
  <si>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</si>
  <si>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</si>
  <si>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</si>
  <si>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</si>
  <si>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</si>
  <si>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</si>
  <si>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</si>
  <si>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</si>
  <si>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</si>
  <si>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</si>
  <si>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</si>
  <si>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</si>
  <si>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</si>
  <si>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</si>
  <si>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</si>
  <si>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</si>
  <si>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</si>
  <si>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</si>
  <si>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</si>
  <si>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</si>
  <si>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</si>
  <si>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</si>
  <si>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</si>
  <si>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</si>
  <si>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</si>
  <si>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</si>
  <si>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</si>
  <si>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</si>
  <si>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</si>
  <si>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</si>
  <si>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</si>
  <si>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</si>
  <si>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</si>
  <si>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</si>
  <si>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</si>
  <si>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</si>
  <si>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</si>
  <si>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</si>
  <si>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</si>
  <si>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</si>
  <si>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</si>
  <si>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</si>
  <si>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</si>
  <si>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</si>
  <si>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</si>
  <si>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</si>
  <si>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</si>
  <si>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</si>
  <si>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</si>
  <si>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</si>
  <si>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</si>
  <si>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</si>
  <si>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</si>
  <si>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</si>
  <si>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</si>
  <si>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</si>
  <si>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</si>
  <si>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</si>
  <si>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</si>
  <si>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</si>
  <si>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</si>
  <si>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</si>
  <si>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</si>
  <si>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</si>
  <si>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</si>
  <si>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</si>
  <si>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</si>
  <si>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</si>
  <si>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</si>
  <si>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</si>
  <si>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</si>
  <si>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</si>
  <si>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</si>
  <si>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</si>
  <si>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</si>
  <si>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</si>
  <si>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</si>
  <si>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</si>
  <si>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</si>
  <si>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</si>
  <si>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</si>
  <si>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</si>
  <si>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</si>
  <si>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</si>
  <si>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</si>
  <si>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</si>
  <si>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</si>
  <si>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</si>
  <si>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</si>
  <si>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</si>
  <si>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</si>
  <si>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</si>
  <si>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</si>
  <si>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</si>
  <si>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</si>
  <si>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</si>
  <si>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</si>
  <si>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</si>
  <si>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</si>
  <si>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</si>
  <si>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</si>
  <si>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</si>
  <si>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</si>
  <si>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</si>
  <si>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</si>
  <si>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</si>
  <si>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</si>
  <si>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</si>
  <si>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</si>
  <si>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</si>
  <si>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</si>
  <si>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</si>
  <si>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</si>
  <si>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</si>
  <si>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</si>
  <si>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</si>
  <si>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</si>
  <si>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</si>
  <si>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</si>
  <si>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</si>
  <si>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</si>
  <si>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</si>
  <si>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</si>
  <si>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</si>
  <si>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</si>
  <si>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</si>
  <si>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</si>
  <si>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</si>
  <si>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</si>
  <si>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</si>
  <si>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</si>
  <si>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</si>
  <si>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</si>
  <si>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</si>
  <si>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</si>
  <si>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</si>
  <si>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</si>
  <si>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</si>
  <si>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</si>
  <si>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</si>
  <si>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</si>
  <si>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</si>
  <si>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</si>
  <si>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</si>
  <si>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</si>
  <si>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</si>
  <si>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</si>
  <si>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</si>
  <si>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</si>
  <si>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</si>
  <si>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</si>
  <si>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</si>
  <si>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</si>
  <si>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</si>
  <si>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</si>
  <si>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</si>
  <si>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</si>
  <si>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</si>
  <si>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</si>
  <si>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</si>
  <si>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</si>
  <si>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</si>
  <si>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</si>
  <si>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</si>
  <si>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</si>
  <si>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</si>
  <si>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</si>
  <si>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</si>
  <si>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</si>
  <si>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</si>
  <si>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</si>
  <si>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</si>
  <si>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</si>
  <si>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</si>
  <si>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</si>
  <si>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</si>
  <si>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</si>
  <si>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</si>
  <si>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</si>
  <si>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</si>
  <si>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</si>
  <si>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</si>
  <si>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</si>
  <si>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</si>
  <si>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</si>
  <si>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</si>
  <si>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</si>
  <si>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</si>
  <si>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</si>
  <si>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</si>
  <si>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</si>
  <si>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</si>
  <si>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</si>
  <si>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</si>
  <si>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</si>
  <si>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</si>
  <si>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</si>
  <si>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</si>
  <si>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</si>
  <si>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</si>
  <si>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</si>
  <si>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</si>
  <si>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</si>
  <si>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</si>
  <si>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</si>
  <si>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</si>
  <si>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</si>
  <si>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</si>
  <si>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</si>
  <si>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</si>
  <si>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</si>
  <si>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</si>
  <si>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</si>
  <si>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</si>
  <si>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</si>
  <si>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</si>
  <si>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</si>
  <si>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</si>
  <si>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</si>
  <si>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</si>
  <si>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</si>
  <si>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</si>
  <si>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</si>
  <si>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</si>
  <si>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</si>
  <si>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</si>
  <si>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</si>
  <si>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</si>
  <si>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</si>
  <si>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</si>
  <si>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</si>
  <si>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</si>
  <si>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</si>
  <si>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</si>
  <si>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</si>
  <si>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</si>
  <si>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</si>
  <si>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</si>
  <si>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</si>
  <si>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</si>
  <si>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</si>
  <si>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</si>
  <si>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</si>
  <si>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</si>
  <si>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</si>
  <si>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</si>
  <si>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</si>
  <si>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</si>
  <si>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</si>
  <si>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</si>
  <si>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</si>
  <si>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</si>
  <si>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</si>
  <si>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</si>
  <si>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</si>
  <si>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</si>
  <si>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</si>
  <si>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</si>
  <si>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</si>
  <si>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</si>
  <si>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</si>
  <si>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</si>
  <si>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</si>
  <si>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</si>
  <si>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</si>
  <si>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</si>
  <si>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</si>
  <si>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</si>
  <si>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</si>
  <si>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</si>
  <si>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</si>
  <si>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</si>
  <si>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</si>
  <si>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</si>
  <si>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</si>
  <si>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</si>
  <si>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</si>
  <si>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</si>
  <si>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</si>
  <si>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</si>
  <si>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</si>
  <si>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</si>
  <si>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</si>
  <si>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</si>
  <si>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</si>
  <si>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</si>
  <si>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</si>
  <si>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</si>
  <si>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</si>
  <si>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</si>
  <si>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</si>
  <si>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</si>
  <si>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</si>
  <si>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</si>
  <si>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</si>
  <si>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</si>
  <si>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</si>
  <si>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</si>
  <si>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</si>
  <si>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</si>
  <si>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</si>
  <si>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</si>
  <si>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</si>
  <si>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</si>
  <si>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</si>
  <si>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</si>
  <si>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</si>
  <si>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</si>
  <si>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</si>
  <si>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</si>
  <si>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</si>
  <si>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</si>
  <si>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</si>
  <si>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</si>
  <si>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</si>
  <si>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</si>
  <si>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</si>
  <si>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</si>
  <si>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</si>
  <si>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</si>
  <si>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</si>
  <si>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</si>
  <si>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</si>
  <si>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</si>
  <si>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</si>
  <si>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</si>
  <si>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</si>
  <si>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</si>
  <si>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</si>
  <si>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</si>
  <si>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</si>
  <si>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</si>
  <si>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</si>
  <si>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</si>
  <si>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</si>
  <si>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</si>
  <si>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</si>
  <si>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</si>
  <si>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</si>
  <si>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</si>
  <si>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</si>
  <si>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</si>
  <si>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</si>
  <si>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</si>
  <si>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</si>
  <si>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</si>
  <si>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</si>
  <si>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</si>
  <si>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</si>
  <si>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</si>
  <si>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</si>
  <si>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</si>
  <si>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</si>
  <si>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</si>
  <si>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</si>
  <si>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</si>
  <si>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</si>
  <si>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</si>
  <si>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</si>
  <si>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</si>
  <si>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</si>
  <si>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</si>
  <si>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</si>
  <si>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</si>
  <si>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</si>
  <si>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</si>
  <si>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</si>
  <si>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</si>
  <si>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</si>
  <si>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</si>
  <si>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</si>
  <si>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</si>
  <si>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</si>
  <si>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</si>
  <si>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</si>
  <si>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</si>
  <si>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</si>
  <si>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</si>
  <si>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</si>
  <si>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</si>
  <si>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</si>
  <si>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</si>
  <si>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</si>
  <si>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</si>
  <si>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</si>
  <si>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</si>
  <si>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</si>
  <si>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</si>
  <si>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</si>
  <si>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</si>
  <si>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</si>
  <si>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</si>
  <si>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</si>
  <si>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</si>
  <si>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</si>
  <si>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</si>
  <si>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</si>
  <si>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</si>
  <si>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</si>
  <si>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</si>
  <si>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</si>
  <si>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</si>
  <si>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</si>
  <si>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</si>
  <si>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</si>
  <si>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</si>
  <si>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</si>
  <si>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</si>
  <si>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</si>
  <si>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</si>
  <si>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</si>
  <si>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</si>
  <si>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</si>
  <si>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</si>
  <si>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</si>
  <si>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</si>
  <si>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</si>
  <si>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</si>
  <si>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</si>
  <si>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</si>
  <si>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</si>
  <si>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</si>
  <si>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</si>
  <si>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</si>
  <si>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</si>
  <si>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</si>
  <si>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</si>
  <si>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</si>
  <si>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</si>
  <si>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</si>
  <si>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</si>
  <si>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</si>
  <si>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</si>
  <si>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</si>
  <si>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</si>
  <si>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</si>
  <si>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</si>
  <si>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</si>
  <si>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</si>
  <si>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</si>
  <si>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</si>
  <si>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</si>
  <si>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</si>
  <si>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</si>
  <si>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</si>
  <si>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</si>
  <si>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</si>
  <si>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</si>
  <si>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</si>
  <si>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</si>
  <si>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</si>
  <si>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</si>
  <si>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</si>
  <si>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</si>
  <si>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</si>
  <si>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</si>
  <si>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</si>
  <si>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</si>
  <si>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</si>
  <si>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</si>
  <si>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</si>
  <si>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</si>
  <si>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</si>
  <si>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</si>
  <si>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</si>
  <si>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</si>
  <si>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</si>
  <si>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</si>
  <si>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</si>
  <si>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</si>
  <si>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</si>
  <si>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</si>
  <si>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</si>
  <si>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</si>
  <si>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</si>
  <si>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</si>
  <si>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</si>
  <si>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</si>
  <si>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</si>
  <si>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</si>
  <si>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</si>
  <si>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</si>
  <si>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</si>
  <si>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</si>
  <si>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</si>
  <si>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</si>
  <si>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</si>
  <si>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</si>
  <si>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</si>
  <si>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</si>
  <si>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</si>
  <si>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</si>
  <si>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</si>
  <si>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</si>
  <si>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</si>
  <si>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</si>
  <si>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</si>
  <si>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</si>
  <si>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</si>
  <si>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</si>
  <si>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</si>
  <si>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</si>
  <si>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</si>
  <si>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</si>
  <si>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</si>
  <si>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</si>
  <si>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</si>
  <si>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</si>
  <si>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</si>
  <si>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</si>
  <si>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</si>
  <si>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</si>
  <si>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</si>
  <si>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</si>
  <si>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</si>
  <si>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</si>
  <si>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</si>
  <si>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</si>
  <si>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</si>
  <si>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</si>
  <si>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</si>
  <si>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</si>
  <si>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</si>
  <si>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</si>
  <si>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</si>
  <si>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</si>
  <si>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</si>
  <si>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</si>
  <si>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</si>
  <si>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</si>
  <si>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</si>
  <si>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</si>
  <si>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</si>
  <si>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</si>
  <si>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</si>
  <si>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</si>
  <si>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</si>
  <si>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</si>
  <si>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</si>
  <si>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</si>
  <si>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</si>
  <si>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</si>
  <si>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</si>
  <si>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</si>
  <si>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</si>
  <si>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</si>
  <si>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</si>
  <si>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</si>
  <si>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</si>
  <si>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</si>
  <si>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</si>
  <si>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</si>
  <si>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</si>
  <si>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</si>
  <si>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</si>
  <si>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</si>
  <si>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</si>
  <si>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</si>
  <si>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</si>
  <si>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</si>
  <si>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</si>
  <si>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</si>
  <si>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</si>
  <si>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</si>
  <si>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</si>
  <si>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</si>
  <si>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</si>
  <si>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</si>
  <si>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</si>
  <si>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</si>
  <si>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</si>
  <si>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</si>
  <si>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</si>
  <si>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</si>
  <si>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</si>
  <si>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</si>
  <si>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</si>
  <si>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</si>
  <si>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</si>
  <si>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</si>
  <si>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</si>
  <si>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</si>
  <si>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</si>
  <si>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</si>
  <si>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</si>
  <si>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</si>
  <si>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</si>
  <si>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</si>
  <si>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</si>
  <si>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</si>
  <si>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</si>
  <si>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</si>
  <si>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</si>
  <si>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</si>
  <si>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</si>
  <si>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</si>
  <si>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</si>
  <si>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</si>
  <si>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</si>
  <si>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</si>
  <si>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</si>
  <si>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</si>
  <si>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</si>
  <si>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</si>
  <si>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</si>
  <si>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</si>
  <si>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</si>
  <si>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</si>
  <si>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</si>
  <si>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</si>
  <si>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</si>
  <si>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</si>
  <si>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</si>
  <si>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</si>
  <si>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</si>
  <si>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</si>
  <si>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</si>
  <si>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</si>
  <si>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</si>
  <si>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</si>
  <si>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</si>
  <si>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</si>
  <si>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</si>
  <si>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</si>
  <si>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</si>
  <si>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</si>
  <si>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</si>
  <si>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</si>
  <si>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</si>
  <si>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</si>
  <si>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</si>
  <si>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</si>
  <si>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</si>
  <si>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</si>
  <si>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</si>
  <si>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</si>
  <si>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</si>
  <si>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</si>
  <si>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</si>
  <si>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</si>
  <si>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</si>
  <si>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</si>
  <si>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</si>
  <si>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</si>
  <si>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</si>
  <si>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</si>
  <si>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</si>
  <si>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</si>
  <si>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</si>
  <si>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</si>
  <si>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</si>
  <si>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</si>
  <si>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</si>
  <si>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</si>
  <si>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</si>
  <si>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</si>
  <si>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</si>
  <si>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</si>
  <si>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</si>
  <si>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</si>
  <si>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</si>
  <si>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</si>
  <si>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</si>
  <si>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</si>
  <si>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</si>
  <si>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</si>
  <si>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</si>
  <si>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</si>
  <si>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</si>
  <si>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</si>
  <si>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</si>
  <si>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</si>
  <si>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</si>
  <si>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</si>
  <si>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</si>
  <si>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</si>
  <si>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</si>
  <si>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</si>
  <si>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</si>
  <si>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</si>
  <si>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</si>
  <si>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</si>
  <si>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</si>
  <si>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</si>
  <si>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</si>
  <si>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</si>
  <si>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</si>
  <si>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</si>
  <si>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</si>
  <si>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</si>
  <si>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</si>
  <si>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</si>
  <si>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</si>
  <si>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</si>
  <si>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</si>
  <si>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</si>
  <si>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</si>
  <si>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</si>
  <si>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</si>
  <si>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</si>
  <si>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</si>
  <si>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</si>
  <si>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</si>
  <si>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</si>
  <si>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</si>
  <si>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</si>
  <si>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</si>
  <si>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</si>
  <si>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</si>
  <si>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</si>
  <si>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</si>
  <si>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</si>
  <si>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</si>
  <si>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</si>
  <si>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</si>
  <si>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</si>
  <si>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</si>
  <si>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</si>
  <si>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</si>
  <si>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</si>
  <si>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</si>
  <si>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</si>
  <si>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</si>
  <si>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</si>
  <si>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</si>
  <si>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</si>
  <si>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</si>
  <si>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</si>
  <si>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</si>
  <si>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</si>
  <si>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</si>
  <si>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</si>
  <si>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</si>
  <si>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</si>
  <si>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</si>
  <si>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</si>
  <si>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</si>
  <si>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</si>
  <si>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</si>
  <si>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</si>
  <si>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</si>
  <si>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</si>
  <si>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</si>
  <si>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</si>
  <si>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</si>
  <si>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</si>
  <si>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</si>
  <si>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</si>
  <si>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</si>
  <si>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</si>
  <si>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</si>
  <si>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</si>
  <si>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</si>
  <si>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</si>
  <si>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</si>
  <si>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</si>
  <si>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</si>
  <si>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</si>
  <si>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</si>
  <si>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</si>
  <si>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</si>
  <si>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</si>
  <si>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</si>
  <si>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</si>
  <si>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</si>
  <si>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</si>
  <si>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</si>
  <si>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</si>
  <si>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</si>
  <si>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</si>
  <si>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</si>
  <si>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</si>
  <si>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</si>
  <si>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</si>
  <si>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</si>
  <si>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</si>
  <si>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</si>
  <si>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</si>
  <si>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</si>
  <si>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</si>
  <si>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</si>
  <si>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</si>
  <si>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</si>
  <si>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</si>
  <si>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</si>
  <si>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</si>
  <si>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</si>
  <si>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</si>
  <si>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</si>
  <si>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</si>
  <si>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</si>
  <si>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</si>
  <si>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</si>
  <si>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</si>
  <si>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</si>
  <si>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</si>
  <si>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</si>
  <si>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</si>
  <si>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</si>
  <si>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</si>
  <si>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</si>
  <si>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</si>
  <si>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</si>
  <si>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</si>
  <si>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</si>
  <si>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</si>
  <si>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</si>
  <si>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</si>
  <si>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</si>
  <si>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</si>
  <si>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</si>
  <si>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</si>
  <si>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</si>
  <si>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</si>
  <si>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</si>
  <si>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</si>
  <si>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</si>
  <si>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</si>
  <si>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</si>
  <si>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</si>
  <si>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</si>
  <si>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</si>
  <si>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</si>
  <si>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</si>
  <si>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</si>
  <si>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</si>
  <si>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</si>
  <si>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</si>
  <si>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</si>
  <si>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</si>
  <si>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</si>
  <si>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</si>
  <si>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</si>
  <si>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</si>
  <si>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</si>
  <si>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</si>
  <si>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</si>
  <si>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</si>
  <si>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</si>
  <si>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</si>
  <si>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</si>
  <si>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</si>
  <si>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</si>
  <si>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</si>
  <si>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</si>
  <si>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</si>
  <si>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</si>
  <si>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</si>
  <si>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</si>
  <si>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</si>
  <si>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</si>
  <si>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</si>
  <si>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</si>
  <si>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</si>
  <si>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</si>
  <si>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</si>
  <si>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</si>
  <si>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</si>
  <si>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</si>
  <si>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</si>
  <si>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</si>
  <si>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</si>
  <si>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</si>
  <si>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</si>
  <si>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</si>
  <si>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</si>
  <si>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</si>
  <si>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</si>
  <si>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</si>
  <si>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</si>
  <si>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</si>
  <si>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</si>
  <si>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</si>
  <si>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</si>
  <si>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</si>
  <si>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</si>
  <si>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</si>
  <si>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</si>
  <si>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</si>
  <si>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</si>
  <si>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</si>
  <si>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</si>
  <si>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</si>
  <si>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</si>
  <si>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</si>
  <si>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</si>
  <si>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</si>
  <si>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</si>
  <si>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</si>
  <si>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</si>
  <si>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</si>
  <si>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</si>
  <si>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</si>
  <si>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</si>
  <si>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</si>
  <si>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</si>
  <si>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</si>
  <si>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</si>
  <si>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</si>
  <si>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</si>
  <si>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</si>
  <si>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</si>
  <si>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</si>
  <si>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</si>
  <si>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</si>
  <si>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</si>
  <si>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</si>
  <si>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</si>
  <si>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</si>
  <si>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</si>
  <si>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</si>
  <si>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</si>
  <si>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</si>
  <si>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</si>
  <si>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</si>
  <si>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</si>
  <si>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</si>
  <si>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</si>
  <si>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</si>
  <si>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</si>
  <si>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</si>
  <si>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</si>
  <si>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</si>
  <si>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</si>
  <si>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</si>
  <si>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</si>
  <si>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</si>
  <si>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</si>
  <si>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</si>
  <si>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</si>
  <si>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</si>
  <si>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</si>
  <si>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</si>
  <si>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</si>
  <si>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</si>
  <si>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</si>
  <si>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</si>
  <si>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</si>
  <si>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</si>
  <si>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</si>
  <si>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</si>
  <si>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</si>
  <si>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</si>
  <si>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</si>
  <si>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</si>
  <si>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</si>
  <si>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</si>
  <si>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</si>
  <si>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</si>
  <si>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</si>
  <si>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</si>
  <si>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</si>
  <si>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</si>
  <si>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</si>
  <si>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</si>
  <si>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</si>
  <si>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</si>
  <si>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</si>
  <si>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</si>
  <si>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</si>
  <si>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</si>
  <si>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</si>
  <si>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</si>
  <si>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</si>
  <si>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</si>
  <si>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</si>
  <si>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</si>
  <si>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</si>
  <si>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</si>
  <si>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</si>
  <si>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</si>
  <si>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</si>
  <si>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</si>
  <si>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</si>
  <si>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</si>
  <si>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</si>
  <si>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</si>
  <si>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</si>
  <si>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</si>
  <si>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</si>
  <si>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</si>
  <si>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</si>
  <si>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</si>
  <si>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</si>
  <si>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</si>
  <si>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</si>
  <si>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</si>
  <si>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</si>
  <si>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</si>
  <si>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</si>
  <si>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</si>
  <si>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</si>
  <si>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</si>
  <si>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</si>
  <si>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</si>
  <si>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</si>
  <si>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</si>
  <si>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</si>
  <si>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</si>
  <si>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</si>
  <si>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</si>
  <si>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</si>
  <si>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</si>
  <si>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</si>
  <si>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</si>
  <si>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</si>
  <si>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</si>
  <si>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</si>
  <si>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</si>
  <si>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</si>
  <si>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</si>
  <si>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</si>
  <si>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</si>
  <si>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</si>
  <si>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</si>
  <si>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</si>
  <si>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</si>
  <si>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</si>
  <si>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</si>
  <si>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</si>
  <si>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</si>
  <si>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</si>
  <si>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</si>
  <si>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</si>
  <si>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</si>
  <si>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</si>
  <si>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</si>
  <si>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</si>
  <si>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</si>
  <si>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</si>
  <si>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</si>
  <si>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</si>
  <si>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</si>
  <si>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</si>
  <si>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</si>
  <si>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</si>
  <si>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</si>
  <si>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</si>
  <si>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</si>
  <si>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</si>
  <si>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</si>
  <si>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</si>
  <si>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</si>
  <si>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</si>
  <si>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</si>
  <si>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</si>
  <si>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</si>
  <si>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</si>
  <si>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</si>
  <si>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</si>
  <si>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</si>
  <si>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</si>
  <si>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</si>
  <si>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</si>
  <si>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</si>
  <si>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</si>
  <si>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</si>
  <si>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</si>
  <si>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</si>
  <si>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</si>
  <si>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</si>
  <si>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</si>
  <si>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</si>
  <si>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</si>
  <si>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</si>
  <si>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</si>
  <si>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</si>
  <si>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</si>
  <si>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</si>
  <si>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</si>
  <si>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</si>
  <si>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</si>
  <si>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</si>
  <si>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</si>
  <si>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</si>
  <si>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</si>
  <si>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</si>
  <si>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</si>
  <si>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</si>
  <si>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</si>
  <si>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</si>
  <si>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</si>
  <si>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</si>
  <si>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</si>
  <si>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</si>
  <si>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</si>
  <si>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</si>
  <si>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</si>
  <si>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</si>
  <si>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</si>
  <si>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</si>
  <si>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</si>
  <si>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</si>
  <si>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</si>
  <si>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</si>
  <si>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</si>
  <si>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</si>
  <si>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</si>
  <si>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</si>
  <si>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</si>
  <si>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</si>
  <si>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</si>
  <si>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</si>
  <si>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</si>
  <si>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</si>
  <si>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</si>
  <si>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</si>
  <si>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</si>
  <si>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</si>
  <si>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</si>
  <si>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</si>
  <si>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</si>
  <si>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</si>
  <si>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</si>
  <si>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</si>
  <si>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</si>
  <si>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</si>
  <si>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</si>
  <si>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</si>
  <si>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</si>
  <si>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</si>
  <si>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</si>
  <si>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</si>
  <si>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</si>
  <si>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</si>
  <si>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</si>
  <si>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</si>
  <si>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</si>
  <si>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</si>
  <si>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</si>
  <si>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</si>
  <si>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</si>
  <si>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</si>
  <si>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</si>
  <si>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</si>
  <si>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</si>
  <si>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</si>
  <si>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</si>
  <si>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</si>
  <si>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</si>
  <si>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</si>
  <si>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</si>
  <si>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</si>
  <si>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</si>
  <si>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</si>
  <si>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</si>
  <si>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</si>
  <si>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</si>
  <si>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</si>
  <si>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</si>
  <si>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</si>
  <si>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</si>
  <si>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</si>
  <si>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</si>
  <si>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</si>
  <si>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</si>
  <si>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</si>
  <si>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</si>
  <si>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</si>
  <si>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</si>
  <si>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</si>
  <si>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</si>
  <si>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</si>
  <si>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</si>
  <si>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</si>
  <si>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</si>
  <si>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</si>
  <si>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</si>
  <si>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</si>
  <si>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</si>
  <si>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</si>
  <si>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</si>
  <si>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</si>
  <si>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</si>
  <si>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</si>
  <si>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</si>
  <si>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</si>
  <si>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</si>
  <si>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</si>
  <si>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</si>
  <si>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</si>
  <si>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</si>
  <si>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</si>
  <si>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</si>
  <si>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</si>
  <si>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</si>
  <si>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</si>
  <si>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</si>
  <si>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</si>
  <si>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</si>
  <si>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</si>
  <si>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</si>
  <si>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</si>
  <si>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</si>
  <si>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</si>
  <si>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</si>
  <si>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</si>
  <si>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</si>
  <si>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</si>
  <si>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</si>
  <si>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</si>
  <si>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</si>
  <si>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</si>
  <si>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</si>
  <si>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</si>
  <si>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</si>
  <si>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</si>
  <si>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</si>
  <si>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</si>
  <si>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</si>
  <si>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</si>
  <si>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</si>
  <si>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</si>
  <si>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</si>
  <si>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</si>
  <si>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</si>
  <si>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</si>
  <si>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</si>
  <si>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</si>
  <si>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</si>
  <si>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</si>
  <si>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</si>
  <si>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</si>
  <si>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</si>
  <si>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</si>
  <si>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</si>
  <si>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</si>
  <si>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</si>
  <si>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</si>
  <si>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</si>
  <si>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</si>
  <si>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</si>
  <si>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</si>
  <si>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</si>
  <si>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</si>
  <si>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</si>
  <si>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</si>
  <si>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</si>
  <si>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</si>
  <si>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</si>
  <si>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</si>
  <si>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</si>
  <si>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</si>
  <si>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</si>
  <si>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</si>
  <si>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</si>
  <si>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</si>
  <si>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</si>
  <si>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</si>
  <si>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</si>
  <si>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</si>
  <si>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</si>
  <si>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</si>
  <si>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</si>
  <si>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</si>
  <si>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</si>
  <si>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</si>
  <si>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</si>
  <si>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</si>
  <si>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</si>
  <si>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</si>
  <si>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</si>
  <si>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</si>
  <si>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</si>
  <si>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</si>
  <si>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</si>
  <si>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</si>
  <si>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</si>
  <si>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</si>
  <si>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</si>
  <si>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</si>
  <si>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</si>
  <si>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</si>
  <si>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</si>
  <si>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</si>
  <si>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</si>
  <si>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</si>
  <si>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</si>
  <si>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</si>
  <si>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</si>
  <si>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</si>
  <si>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</si>
  <si>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</si>
  <si>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</si>
  <si>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</si>
  <si>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</si>
  <si>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</si>
  <si>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</si>
  <si>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</si>
  <si>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</si>
  <si>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</si>
  <si>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</si>
  <si>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</si>
  <si>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</si>
  <si>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</si>
  <si>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</si>
  <si>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</si>
  <si>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</si>
  <si>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</si>
  <si>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</si>
  <si>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</si>
  <si>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</si>
  <si>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</si>
  <si>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</si>
  <si>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</si>
  <si>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</si>
  <si>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</si>
  <si>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</si>
  <si>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</si>
  <si>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</si>
  <si>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</si>
  <si>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</si>
  <si>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</si>
  <si>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</si>
  <si>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</si>
  <si>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</si>
  <si>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</si>
  <si>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</si>
  <si>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</si>
  <si>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</si>
  <si>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</si>
  <si>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</si>
  <si>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</si>
  <si>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</si>
  <si>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</si>
  <si>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</si>
  <si>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</si>
  <si>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</si>
  <si>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</si>
  <si>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</si>
  <si>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</si>
  <si>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</si>
  <si>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</si>
  <si>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</si>
  <si>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</si>
  <si>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</si>
  <si>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</si>
  <si>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</si>
  <si>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</si>
  <si>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</si>
  <si>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</si>
  <si>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</si>
  <si>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</si>
  <si>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</si>
  <si>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</si>
  <si>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</si>
  <si>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</si>
  <si>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</si>
  <si>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</si>
  <si>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</si>
  <si>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</si>
  <si>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</si>
  <si>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</si>
  <si>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</si>
  <si>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</si>
  <si>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</si>
  <si>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</si>
  <si>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</si>
  <si>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</si>
  <si>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</si>
  <si>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</si>
  <si>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</si>
  <si>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</si>
  <si>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</si>
  <si>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</si>
  <si>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</si>
  <si>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</si>
  <si>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</si>
  <si>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</si>
  <si>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2991 Poljoprivredni institut, Osijek</t>
  </si>
  <si>
    <t xml:space="preserve"> OSIJEK 20.09.2019</t>
  </si>
  <si>
    <t>ANUŠA REŠETAR</t>
  </si>
  <si>
    <t>anusa.resetar@poljinos.hr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</si>
</sst>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1665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1666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1667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>
        <v>31515585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1668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4" t="s">
        <v>842</v>
      </c>
      <c r="C9" s="253"/>
      <c r="D9" s="253"/>
      <c r="E9" s="25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4" t="s">
        <v>3</v>
      </c>
      <c r="C10" s="253"/>
      <c r="D10" s="253"/>
      <c r="E10" s="25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2"/>
      <c r="C11" s="253"/>
      <c r="D11" s="253"/>
      <c r="E11" s="25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75874064</v>
      </c>
      <c r="D14" s="173">
        <f>+D15+D16</f>
        <v>75874064</v>
      </c>
      <c r="E14" s="173">
        <f>+E15+E16</f>
        <v>75874064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75874064</v>
      </c>
      <c r="D15" s="176">
        <f>'PLAN PRIHODA I PRIMITAKA '!C62</f>
        <v>75874064</v>
      </c>
      <c r="E15" s="176">
        <f>'PLAN PRIHODA I PRIMITAKA '!C98</f>
        <v>75874064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75730243</v>
      </c>
      <c r="D17" s="180">
        <f>+D18+D19</f>
        <v>75962246</v>
      </c>
      <c r="E17" s="180">
        <f>+E18+E19</f>
        <v>75871703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75487243</v>
      </c>
      <c r="D18" s="182">
        <f>'PLAN RASHODA I IZDATAKA'!C72</f>
        <v>75487246</v>
      </c>
      <c r="E18" s="182">
        <f>'PLAN RASHODA I IZDATAKA'!C92</f>
        <v>74883403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243000</v>
      </c>
      <c r="D19" s="182">
        <f>'PLAN RASHODA I IZDATAKA'!C80</f>
        <v>475000</v>
      </c>
      <c r="E19" s="182">
        <f>'PLAN RASHODA I IZDATAKA'!C100</f>
        <v>988300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143821</v>
      </c>
      <c r="D20" s="173">
        <f>+D14-D17</f>
        <v>-88182</v>
      </c>
      <c r="E20" s="173">
        <f>+E14-E17</f>
        <v>2361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2"/>
      <c r="C21" s="253"/>
      <c r="D21" s="253"/>
      <c r="E21" s="25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0</v>
      </c>
      <c r="D23" s="181">
        <f>'PLAN PRIHODA I PRIMITAKA '!C41</f>
        <v>143821</v>
      </c>
      <c r="E23" s="181">
        <f>'PLAN PRIHODA I PRIMITAKA '!C77</f>
        <v>55639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-143821</v>
      </c>
      <c r="D24" s="185">
        <f>'PLAN PRIHODA I PRIMITAKA '!C43</f>
        <v>-55639</v>
      </c>
      <c r="E24" s="186">
        <f>'PLAN PRIHODA I PRIMITAKA '!C79</f>
        <v>-58000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2"/>
      <c r="C25" s="253"/>
      <c r="D25" s="253"/>
      <c r="E25" s="25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2"/>
      <c r="C30" s="253"/>
      <c r="D30" s="253"/>
      <c r="E30" s="25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I11" sqref="I11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08008</v>
      </c>
      <c r="B3" s="142" t="str">
        <f>IF(E3="","",VLOOKUP('Opći dio'!$C$3,'Opći dio'!$L$6:$U$135,9,FALSE))</f>
        <v>Javni instituti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9655191</v>
      </c>
      <c r="H3" s="198">
        <v>9747525</v>
      </c>
      <c r="I3" s="198">
        <v>9815215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08008</v>
      </c>
      <c r="B4" s="142" t="str">
        <f>IF(E4="","",VLOOKUP('Opći dio'!$C$3,'Opći dio'!$L$6:$U$135,9,FALSE))</f>
        <v>Javni instituti</v>
      </c>
      <c r="C4" s="202">
        <f t="shared" si="0"/>
        <v>52</v>
      </c>
      <c r="D4" s="140" t="str">
        <f t="shared" si="1"/>
        <v>Ostale pomoći</v>
      </c>
      <c r="E4" s="153">
        <v>6391</v>
      </c>
      <c r="F4" s="141" t="str">
        <f t="shared" ref="F4:F66" si="2">IFERROR(VLOOKUP(E4,$R$6:$U$73,2,FALSE),"")</f>
        <v>Tekući prijenosi između proračunskih korisnika istog proračuna</v>
      </c>
      <c r="G4" s="198">
        <v>30000</v>
      </c>
      <c r="H4" s="198">
        <v>0</v>
      </c>
      <c r="I4" s="198">
        <v>0</v>
      </c>
      <c r="K4" s="144" t="str">
        <f t="shared" ref="K4:K67" si="3">LEFT(E4,3)</f>
        <v>639</v>
      </c>
      <c r="L4" s="144" t="str">
        <f t="shared" ref="L4:L67" si="4">LEFT(E4,2)</f>
        <v>63</v>
      </c>
    </row>
    <row r="5" spans="1:22">
      <c r="A5" s="142" t="str">
        <f>IF(E5="","",VLOOKUP('Opći dio'!$C$3,'Opći dio'!$L$6:$U$135,10,FALSE))</f>
        <v>08008</v>
      </c>
      <c r="B5" s="142" t="str">
        <f>IF(E5="","",VLOOKUP('Opći dio'!$C$3,'Opći dio'!$L$6:$U$135,9,FALSE))</f>
        <v>Javni instituti</v>
      </c>
      <c r="C5" s="202">
        <f t="shared" si="0"/>
        <v>52</v>
      </c>
      <c r="D5" s="140" t="str">
        <f t="shared" si="1"/>
        <v>Ostale pomoći</v>
      </c>
      <c r="E5" s="153">
        <v>6393</v>
      </c>
      <c r="F5" s="141" t="str">
        <f t="shared" si="2"/>
        <v>Tekući prijenosi između proračunskih korisnika istog proračuna temeljem prijenosa EU sredstava</v>
      </c>
      <c r="G5" s="198">
        <v>1154800</v>
      </c>
      <c r="H5" s="198">
        <v>1144000</v>
      </c>
      <c r="I5" s="198">
        <v>632000</v>
      </c>
      <c r="K5" s="144" t="str">
        <f t="shared" si="3"/>
        <v>639</v>
      </c>
      <c r="L5" s="144" t="str">
        <f t="shared" si="4"/>
        <v>63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08008</v>
      </c>
      <c r="B6" s="142" t="str">
        <f>IF(E6="","",VLOOKUP('Opći dio'!$C$3,'Opći dio'!$L$6:$U$135,9,FALSE))</f>
        <v>Javni instituti</v>
      </c>
      <c r="C6" s="202">
        <f t="shared" si="0"/>
        <v>52</v>
      </c>
      <c r="D6" s="140" t="str">
        <f t="shared" si="1"/>
        <v>Ostale pomoći</v>
      </c>
      <c r="E6" s="153">
        <v>6394</v>
      </c>
      <c r="F6" s="141" t="str">
        <f t="shared" si="2"/>
        <v>Kapitalni prijenosi između proračunskih korisnika istog proračuna temeljem prijenosa EU sredstava</v>
      </c>
      <c r="G6" s="198">
        <v>220000</v>
      </c>
      <c r="H6" s="198">
        <v>456000</v>
      </c>
      <c r="I6" s="198">
        <v>968000</v>
      </c>
      <c r="K6" s="144" t="str">
        <f t="shared" si="3"/>
        <v>639</v>
      </c>
      <c r="L6" s="144" t="str">
        <f t="shared" si="4"/>
        <v>63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08008</v>
      </c>
      <c r="B7" s="142" t="str">
        <f>IF(E7="","",VLOOKUP('Opći dio'!$C$3,'Opći dio'!$L$6:$U$135,9,FALSE))</f>
        <v>Javni instituti</v>
      </c>
      <c r="C7" s="202">
        <f t="shared" si="0"/>
        <v>52</v>
      </c>
      <c r="D7" s="140" t="str">
        <f t="shared" si="1"/>
        <v>Ostale pomoći</v>
      </c>
      <c r="E7" s="153">
        <v>6391</v>
      </c>
      <c r="F7" s="141" t="str">
        <f t="shared" si="2"/>
        <v>Tekući prijenosi između proračunskih korisnika istog proračuna</v>
      </c>
      <c r="G7" s="198">
        <v>1602520</v>
      </c>
      <c r="H7" s="198">
        <v>1602520</v>
      </c>
      <c r="I7" s="198">
        <v>1602520</v>
      </c>
      <c r="K7" s="144" t="str">
        <f t="shared" si="3"/>
        <v>639</v>
      </c>
      <c r="L7" s="144" t="str">
        <f t="shared" si="4"/>
        <v>63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08008</v>
      </c>
      <c r="B8" s="142" t="str">
        <f>IF(E8="","",VLOOKUP('Opći dio'!$C$3,'Opći dio'!$L$6:$U$135,9,FALSE))</f>
        <v>Javni instituti</v>
      </c>
      <c r="C8" s="202">
        <f t="shared" si="0"/>
        <v>31</v>
      </c>
      <c r="D8" s="140" t="str">
        <f t="shared" si="1"/>
        <v>Vlastiti prihodi</v>
      </c>
      <c r="E8" s="153">
        <v>6614</v>
      </c>
      <c r="F8" s="141" t="str">
        <f t="shared" si="2"/>
        <v>Prihodi od prodaje proizvoda i robe</v>
      </c>
      <c r="G8" s="198">
        <v>57540067</v>
      </c>
      <c r="H8" s="198">
        <v>57447733</v>
      </c>
      <c r="I8" s="198">
        <v>57380043</v>
      </c>
      <c r="K8" s="144" t="str">
        <f t="shared" si="3"/>
        <v>661</v>
      </c>
      <c r="L8" s="144" t="str">
        <f t="shared" si="4"/>
        <v>66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08008</v>
      </c>
      <c r="B9" s="142" t="str">
        <f>IF(E9="","",VLOOKUP('Opći dio'!$C$3,'Opći dio'!$L$6:$U$135,9,FALSE))</f>
        <v>Javni instituti</v>
      </c>
      <c r="C9" s="202">
        <f t="shared" si="0"/>
        <v>31</v>
      </c>
      <c r="D9" s="140" t="str">
        <f t="shared" si="1"/>
        <v>Vlastiti prihodi</v>
      </c>
      <c r="E9" s="153">
        <v>6615</v>
      </c>
      <c r="F9" s="141" t="str">
        <f t="shared" si="2"/>
        <v>Prihodi od pruženih usluga</v>
      </c>
      <c r="G9" s="198">
        <v>5476286</v>
      </c>
      <c r="H9" s="198">
        <v>5476286</v>
      </c>
      <c r="I9" s="198">
        <v>5476286</v>
      </c>
      <c r="K9" s="144" t="str">
        <f t="shared" si="3"/>
        <v>661</v>
      </c>
      <c r="L9" s="144" t="str">
        <f t="shared" si="4"/>
        <v>66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08008</v>
      </c>
      <c r="B10" s="142" t="str">
        <f>IF(E10="","",VLOOKUP('Opći dio'!$C$3,'Opći dio'!$L$6:$U$135,9,FALSE))</f>
        <v>Javni instituti</v>
      </c>
      <c r="C10" s="202">
        <f t="shared" si="0"/>
        <v>43</v>
      </c>
      <c r="D10" s="140" t="str">
        <f t="shared" si="1"/>
        <v>Ostali prihodi za posebne namjene</v>
      </c>
      <c r="E10" s="153">
        <v>65268</v>
      </c>
      <c r="F10" s="141" t="str">
        <f t="shared" si="2"/>
        <v>Ostali prihodi za posebne namjene</v>
      </c>
      <c r="G10" s="198">
        <v>195200</v>
      </c>
      <c r="H10" s="198">
        <v>0</v>
      </c>
      <c r="I10" s="198">
        <v>0</v>
      </c>
      <c r="K10" s="144" t="str">
        <f t="shared" si="3"/>
        <v>652</v>
      </c>
      <c r="L10" s="144" t="str">
        <f t="shared" si="4"/>
        <v>65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24" activePane="bottomLeft" state="frozen"/>
      <selection pane="bottomLeft" activeCell="J87" sqref="J87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08008</v>
      </c>
      <c r="B3" s="148" t="str">
        <f>IF(C3="","",VLOOKUP('Opći dio'!$C$3,'Opći dio'!$L$6:$U$135,9,FALSE))</f>
        <v>Javni instituti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901</v>
      </c>
      <c r="H3" s="149" t="str">
        <f>IFERROR(VLOOKUP(G3,$X$6:$Y$50,2,FALSE),"")</f>
        <v>REDOVNA DJELATNOST JAVNIH INSTITUTA</v>
      </c>
      <c r="I3" s="198">
        <v>7578625</v>
      </c>
      <c r="J3" s="198">
        <v>7630178</v>
      </c>
      <c r="K3" s="198">
        <v>7651077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08008</v>
      </c>
      <c r="B4" s="148" t="str">
        <f>IF(C4="","",VLOOKUP('Opći dio'!$C$3,'Opći dio'!$L$6:$U$135,9,FALSE))</f>
        <v>Javni instituti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3132</v>
      </c>
      <c r="F4" s="149" t="str">
        <f t="shared" si="0"/>
        <v>Doprinosi za obvezno zdravstveno osiguranje</v>
      </c>
      <c r="G4" s="201" t="s">
        <v>901</v>
      </c>
      <c r="H4" s="149" t="str">
        <f t="shared" ref="H4:H67" si="2">IFERROR(VLOOKUP(G4,$X$6:$Y$50,2,FALSE),"")</f>
        <v>REDOVNA DJELATNOST JAVNIH INSTITUTA</v>
      </c>
      <c r="I4" s="198">
        <v>1233730</v>
      </c>
      <c r="J4" s="198">
        <v>1242122</v>
      </c>
      <c r="K4" s="198">
        <v>1245524</v>
      </c>
      <c r="M4" s="144" t="str">
        <f t="shared" ref="M4:M67" si="3">LEFT(E4,3)</f>
        <v>313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08008</v>
      </c>
      <c r="B5" s="148" t="str">
        <f>IF(C5="","",VLOOKUP('Opći dio'!$C$3,'Opći dio'!$L$6:$U$135,9,FALSE))</f>
        <v>Javni instituti</v>
      </c>
      <c r="C5" s="154">
        <v>11</v>
      </c>
      <c r="D5" s="149" t="str">
        <f t="shared" si="1"/>
        <v>Opći prihodi i primici</v>
      </c>
      <c r="E5" s="154">
        <v>3121</v>
      </c>
      <c r="F5" s="149" t="str">
        <f t="shared" si="0"/>
        <v>Ostali rashodi za zaposlene</v>
      </c>
      <c r="G5" s="201" t="s">
        <v>901</v>
      </c>
      <c r="H5" s="149" t="str">
        <f t="shared" si="2"/>
        <v>REDOVNA DJELATNOST JAVNIH INSTITUTA</v>
      </c>
      <c r="I5" s="198">
        <v>157402</v>
      </c>
      <c r="J5" s="198">
        <v>161152</v>
      </c>
      <c r="K5" s="198">
        <v>161152</v>
      </c>
      <c r="M5" s="144" t="str">
        <f t="shared" si="3"/>
        <v>312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08008</v>
      </c>
      <c r="B6" s="148" t="str">
        <f>IF(C6="","",VLOOKUP('Opći dio'!$C$3,'Opći dio'!$L$6:$U$135,9,FALSE))</f>
        <v>Javni instituti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901</v>
      </c>
      <c r="H6" s="149" t="str">
        <f t="shared" si="2"/>
        <v>REDOVNA DJELATNOST JAVNIH INSTITUTA</v>
      </c>
      <c r="I6" s="198">
        <v>112421</v>
      </c>
      <c r="J6" s="198">
        <v>120414</v>
      </c>
      <c r="K6" s="198">
        <v>120414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08008</v>
      </c>
      <c r="B7" s="148" t="str">
        <f>IF(C7="","",VLOOKUP('Opći dio'!$C$3,'Opći dio'!$L$6:$U$135,9,FALSE))</f>
        <v>Javni instituti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901</v>
      </c>
      <c r="H7" s="149" t="str">
        <f t="shared" si="2"/>
        <v>REDOVNA DJELATNOST JAVNIH INSTITUTA</v>
      </c>
      <c r="I7" s="198">
        <v>500</v>
      </c>
      <c r="J7" s="198">
        <v>500</v>
      </c>
      <c r="K7" s="198">
        <v>500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08008</v>
      </c>
      <c r="B8" s="148" t="str">
        <f>IF(C8="","",VLOOKUP('Opći dio'!$C$3,'Opći dio'!$L$6:$U$135,9,FALSE))</f>
        <v>Javni instituti</v>
      </c>
      <c r="C8" s="154">
        <v>11</v>
      </c>
      <c r="D8" s="149" t="str">
        <f t="shared" si="1"/>
        <v>Opći prihodi i primici</v>
      </c>
      <c r="E8" s="154">
        <v>3295</v>
      </c>
      <c r="F8" s="149" t="str">
        <f t="shared" si="0"/>
        <v>Pristojbe i naknade</v>
      </c>
      <c r="G8" s="201" t="s">
        <v>911</v>
      </c>
      <c r="H8" s="149" t="str">
        <f t="shared" si="2"/>
        <v>PROGRAMSKO FINANCIRANJE JAVNIH ZNANSTVENIH INSTITUTA</v>
      </c>
      <c r="I8" s="198">
        <v>11746</v>
      </c>
      <c r="J8" s="198">
        <v>11746</v>
      </c>
      <c r="K8" s="198">
        <v>11746</v>
      </c>
      <c r="M8" s="144" t="str">
        <f t="shared" si="3"/>
        <v>329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08008</v>
      </c>
      <c r="B9" s="148" t="str">
        <f>IF(C9="","",VLOOKUP('Opći dio'!$C$3,'Opći dio'!$L$6:$U$135,9,FALSE))</f>
        <v>Javni instituti</v>
      </c>
      <c r="C9" s="154">
        <v>11</v>
      </c>
      <c r="D9" s="149" t="str">
        <f t="shared" si="1"/>
        <v>Opći prihodi i primici</v>
      </c>
      <c r="E9" s="154">
        <v>3211</v>
      </c>
      <c r="F9" s="149" t="str">
        <f t="shared" si="0"/>
        <v>Službena putovanja</v>
      </c>
      <c r="G9" s="201" t="s">
        <v>911</v>
      </c>
      <c r="H9" s="149" t="str">
        <f t="shared" si="2"/>
        <v>PROGRAMSKO FINANCIRANJE JAVNIH ZNANSTVENIH INSTITUTA</v>
      </c>
      <c r="I9" s="198">
        <v>76432</v>
      </c>
      <c r="J9" s="198">
        <v>83637</v>
      </c>
      <c r="K9" s="198">
        <v>87309</v>
      </c>
      <c r="M9" s="144" t="str">
        <f t="shared" si="3"/>
        <v>321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08008</v>
      </c>
      <c r="B10" s="148" t="str">
        <f>IF(C10="","",VLOOKUP('Opći dio'!$C$3,'Opći dio'!$L$6:$U$135,9,FALSE))</f>
        <v>Javni instituti</v>
      </c>
      <c r="C10" s="154">
        <v>11</v>
      </c>
      <c r="D10" s="149" t="str">
        <f t="shared" si="1"/>
        <v>Opći prihodi i primici</v>
      </c>
      <c r="E10" s="154">
        <v>3213</v>
      </c>
      <c r="F10" s="149" t="str">
        <f t="shared" si="0"/>
        <v>Stručno usavršavanje zaposlenika</v>
      </c>
      <c r="G10" s="201" t="s">
        <v>911</v>
      </c>
      <c r="H10" s="149" t="str">
        <f t="shared" si="2"/>
        <v>PROGRAMSKO FINANCIRANJE JAVNIH ZNANSTVENIH INSTITUTA</v>
      </c>
      <c r="I10" s="198">
        <v>29317</v>
      </c>
      <c r="J10" s="198">
        <v>31081</v>
      </c>
      <c r="K10" s="198">
        <v>34058</v>
      </c>
      <c r="M10" s="144" t="str">
        <f t="shared" si="3"/>
        <v>321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08008</v>
      </c>
      <c r="B11" s="148" t="str">
        <f>IF(C11="","",VLOOKUP('Opći dio'!$C$3,'Opći dio'!$L$6:$U$135,9,FALSE))</f>
        <v>Javni instituti</v>
      </c>
      <c r="C11" s="154">
        <v>11</v>
      </c>
      <c r="D11" s="149" t="str">
        <f t="shared" si="1"/>
        <v>Opći prihodi i primici</v>
      </c>
      <c r="E11" s="154">
        <v>3214</v>
      </c>
      <c r="F11" s="149" t="str">
        <f t="shared" si="0"/>
        <v>Ostale naknade troškova zaposlenima</v>
      </c>
      <c r="G11" s="201" t="s">
        <v>911</v>
      </c>
      <c r="H11" s="149" t="str">
        <f t="shared" si="2"/>
        <v>PROGRAMSKO FINANCIRANJE JAVNIH ZNANSTVENIH INSTITUTA</v>
      </c>
      <c r="I11" s="198">
        <v>695</v>
      </c>
      <c r="J11" s="198">
        <v>721</v>
      </c>
      <c r="K11" s="198">
        <v>774</v>
      </c>
      <c r="M11" s="144" t="str">
        <f t="shared" si="3"/>
        <v>321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08008</v>
      </c>
      <c r="B12" s="148" t="str">
        <f>IF(C12="","",VLOOKUP('Opći dio'!$C$3,'Opći dio'!$L$6:$U$135,9,FALSE))</f>
        <v>Javni instituti</v>
      </c>
      <c r="C12" s="154">
        <v>11</v>
      </c>
      <c r="D12" s="149" t="str">
        <f t="shared" si="1"/>
        <v>Opći prihodi i primici</v>
      </c>
      <c r="E12" s="154">
        <v>3221</v>
      </c>
      <c r="F12" s="149" t="str">
        <f t="shared" si="0"/>
        <v>Uredski materijal i ostali materijalni rashodi</v>
      </c>
      <c r="G12" s="201" t="s">
        <v>911</v>
      </c>
      <c r="H12" s="149" t="str">
        <f t="shared" si="2"/>
        <v>PROGRAMSKO FINANCIRANJE JAVNIH ZNANSTVENIH INSTITUTA</v>
      </c>
      <c r="I12" s="198">
        <v>27301</v>
      </c>
      <c r="J12" s="198">
        <v>28882</v>
      </c>
      <c r="K12" s="198">
        <v>31231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08008</v>
      </c>
      <c r="B13" s="148" t="str">
        <f>IF(C13="","",VLOOKUP('Opći dio'!$C$3,'Opći dio'!$L$6:$U$135,9,FALSE))</f>
        <v>Javni instituti</v>
      </c>
      <c r="C13" s="154">
        <v>11</v>
      </c>
      <c r="D13" s="149" t="str">
        <f t="shared" si="1"/>
        <v>Opći prihodi i primici</v>
      </c>
      <c r="E13" s="154">
        <v>3222</v>
      </c>
      <c r="F13" s="149" t="str">
        <f t="shared" si="0"/>
        <v>Materijal i sirovine</v>
      </c>
      <c r="G13" s="201" t="s">
        <v>911</v>
      </c>
      <c r="H13" s="149" t="str">
        <f t="shared" si="2"/>
        <v>PROGRAMSKO FINANCIRANJE JAVNIH ZNANSTVENIH INSTITUTA</v>
      </c>
      <c r="I13" s="198">
        <v>45223</v>
      </c>
      <c r="J13" s="198">
        <v>45858</v>
      </c>
      <c r="K13" s="198">
        <v>50191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08008</v>
      </c>
      <c r="B14" s="148" t="str">
        <f>IF(C14="","",VLOOKUP('Opći dio'!$C$3,'Opći dio'!$L$6:$U$135,9,FALSE))</f>
        <v>Javni instituti</v>
      </c>
      <c r="C14" s="154">
        <v>11</v>
      </c>
      <c r="D14" s="149" t="str">
        <f t="shared" si="1"/>
        <v>Opći prihodi i primici</v>
      </c>
      <c r="E14" s="154">
        <v>3223</v>
      </c>
      <c r="F14" s="149" t="str">
        <f t="shared" si="0"/>
        <v>Energija</v>
      </c>
      <c r="G14" s="201" t="s">
        <v>911</v>
      </c>
      <c r="H14" s="149" t="str">
        <f t="shared" si="2"/>
        <v>PROGRAMSKO FINANCIRANJE JAVNIH ZNANSTVENIH INSTITUTA</v>
      </c>
      <c r="I14" s="198">
        <v>94028</v>
      </c>
      <c r="J14" s="198">
        <v>97490</v>
      </c>
      <c r="K14" s="198">
        <v>104765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08008</v>
      </c>
      <c r="B15" s="148" t="str">
        <f>IF(C15="","",VLOOKUP('Opći dio'!$C$3,'Opći dio'!$L$6:$U$135,9,FALSE))</f>
        <v>Javni instituti</v>
      </c>
      <c r="C15" s="154">
        <v>11</v>
      </c>
      <c r="D15" s="149" t="str">
        <f t="shared" si="1"/>
        <v>Opći prihodi i primici</v>
      </c>
      <c r="E15" s="154">
        <v>3224</v>
      </c>
      <c r="F15" s="149" t="str">
        <f t="shared" si="0"/>
        <v>Materijal i dijelovi za tekuće i investicijsko održavanje</v>
      </c>
      <c r="G15" s="201" t="s">
        <v>911</v>
      </c>
      <c r="H15" s="149" t="str">
        <f t="shared" si="2"/>
        <v>PROGRAMSKO FINANCIRANJE JAVNIH ZNANSTVENIH INSTITUTA</v>
      </c>
      <c r="I15" s="198">
        <v>11167</v>
      </c>
      <c r="J15" s="198">
        <v>11578</v>
      </c>
      <c r="K15" s="198">
        <v>12442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08008</v>
      </c>
      <c r="B16" s="148" t="str">
        <f>IF(C16="","",VLOOKUP('Opći dio'!$C$3,'Opći dio'!$L$6:$U$135,9,FALSE))</f>
        <v>Javni instituti</v>
      </c>
      <c r="C16" s="154">
        <v>11</v>
      </c>
      <c r="D16" s="149" t="str">
        <f t="shared" si="1"/>
        <v>Opći prihodi i primici</v>
      </c>
      <c r="E16" s="154">
        <v>3225</v>
      </c>
      <c r="F16" s="149" t="str">
        <f t="shared" si="0"/>
        <v>Sitni inventar i auto gume</v>
      </c>
      <c r="G16" s="201" t="s">
        <v>911</v>
      </c>
      <c r="H16" s="149" t="str">
        <f t="shared" si="2"/>
        <v>PROGRAMSKO FINANCIRANJE JAVNIH ZNANSTVENIH INSTITUTA</v>
      </c>
      <c r="I16" s="198">
        <v>2803</v>
      </c>
      <c r="J16" s="198">
        <v>2907</v>
      </c>
      <c r="K16" s="198">
        <v>3123</v>
      </c>
      <c r="M16" s="144" t="str">
        <f t="shared" si="3"/>
        <v>322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08008</v>
      </c>
      <c r="B17" s="148" t="str">
        <f>IF(C17="","",VLOOKUP('Opći dio'!$C$3,'Opći dio'!$L$6:$U$135,9,FALSE))</f>
        <v>Javni instituti</v>
      </c>
      <c r="C17" s="154">
        <v>11</v>
      </c>
      <c r="D17" s="149" t="str">
        <f t="shared" si="1"/>
        <v>Opći prihodi i primici</v>
      </c>
      <c r="E17" s="154">
        <v>3227</v>
      </c>
      <c r="F17" s="149" t="str">
        <f t="shared" si="0"/>
        <v>Službena, radna i zaštitna odjeća i obuća</v>
      </c>
      <c r="G17" s="201" t="s">
        <v>911</v>
      </c>
      <c r="H17" s="149" t="str">
        <f t="shared" si="2"/>
        <v>PROGRAMSKO FINANCIRANJE JAVNIH ZNANSTVENIH INSTITUTA</v>
      </c>
      <c r="I17" s="198">
        <v>1120</v>
      </c>
      <c r="J17" s="198">
        <v>1161</v>
      </c>
      <c r="K17" s="198">
        <v>1248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08008</v>
      </c>
      <c r="B18" s="148" t="str">
        <f>IF(C18="","",VLOOKUP('Opći dio'!$C$3,'Opći dio'!$L$6:$U$135,9,FALSE))</f>
        <v>Javni instituti</v>
      </c>
      <c r="C18" s="154">
        <v>11</v>
      </c>
      <c r="D18" s="149" t="str">
        <f t="shared" si="1"/>
        <v>Opći prihodi i primici</v>
      </c>
      <c r="E18" s="154">
        <v>3231</v>
      </c>
      <c r="F18" s="149" t="str">
        <f t="shared" si="0"/>
        <v>Usluge telefona, pošte i prijevoza</v>
      </c>
      <c r="G18" s="201" t="s">
        <v>911</v>
      </c>
      <c r="H18" s="149" t="str">
        <f t="shared" si="2"/>
        <v>PROGRAMSKO FINANCIRANJE JAVNIH ZNANSTVENIH INSTITUTA</v>
      </c>
      <c r="I18" s="198">
        <v>29327</v>
      </c>
      <c r="J18" s="198">
        <v>30406</v>
      </c>
      <c r="K18" s="198">
        <v>32716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08008</v>
      </c>
      <c r="B19" s="148" t="str">
        <f>IF(C19="","",VLOOKUP('Opći dio'!$C$3,'Opći dio'!$L$6:$U$135,9,FALSE))</f>
        <v>Javni instituti</v>
      </c>
      <c r="C19" s="154">
        <v>11</v>
      </c>
      <c r="D19" s="149" t="str">
        <f t="shared" si="1"/>
        <v>Opći prihodi i primici</v>
      </c>
      <c r="E19" s="154">
        <v>3232</v>
      </c>
      <c r="F19" s="149" t="str">
        <f t="shared" si="0"/>
        <v>Usluge tekućeg i investicijskog održavanja</v>
      </c>
      <c r="G19" s="201" t="s">
        <v>911</v>
      </c>
      <c r="H19" s="149" t="str">
        <f t="shared" si="2"/>
        <v>PROGRAMSKO FINANCIRANJE JAVNIH ZNANSTVENIH INSTITUTA</v>
      </c>
      <c r="I19" s="198">
        <v>40869</v>
      </c>
      <c r="J19" s="198">
        <v>42374</v>
      </c>
      <c r="K19" s="198">
        <v>45536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08008</v>
      </c>
      <c r="B20" s="148" t="str">
        <f>IF(C20="","",VLOOKUP('Opći dio'!$C$3,'Opći dio'!$L$6:$U$135,9,FALSE))</f>
        <v>Javni instituti</v>
      </c>
      <c r="C20" s="154">
        <v>11</v>
      </c>
      <c r="D20" s="149" t="str">
        <f t="shared" si="1"/>
        <v>Opći prihodi i primici</v>
      </c>
      <c r="E20" s="154">
        <v>3233</v>
      </c>
      <c r="F20" s="149" t="str">
        <f t="shared" si="0"/>
        <v>Usluge promidžbe i informiranja</v>
      </c>
      <c r="G20" s="201" t="s">
        <v>911</v>
      </c>
      <c r="H20" s="149" t="str">
        <f t="shared" si="2"/>
        <v>PROGRAMSKO FINANCIRANJE JAVNIH ZNANSTVENIH INSTITUTA</v>
      </c>
      <c r="I20" s="198">
        <v>7959</v>
      </c>
      <c r="J20" s="198">
        <v>8196</v>
      </c>
      <c r="K20" s="198">
        <v>9196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08008</v>
      </c>
      <c r="B21" s="148" t="str">
        <f>IF(C21="","",VLOOKUP('Opći dio'!$C$3,'Opći dio'!$L$6:$U$135,9,FALSE))</f>
        <v>Javni instituti</v>
      </c>
      <c r="C21" s="154">
        <v>11</v>
      </c>
      <c r="D21" s="149" t="str">
        <f t="shared" si="1"/>
        <v>Opći prihodi i primici</v>
      </c>
      <c r="E21" s="154">
        <v>3234</v>
      </c>
      <c r="F21" s="149" t="str">
        <f t="shared" si="0"/>
        <v>Komunalne usluge</v>
      </c>
      <c r="G21" s="201" t="s">
        <v>911</v>
      </c>
      <c r="H21" s="149" t="str">
        <f t="shared" si="2"/>
        <v>PROGRAMSKO FINANCIRANJE JAVNIH ZNANSTVENIH INSTITUTA</v>
      </c>
      <c r="I21" s="198">
        <v>40604</v>
      </c>
      <c r="J21" s="198">
        <v>42099</v>
      </c>
      <c r="K21" s="198">
        <v>45241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08008</v>
      </c>
      <c r="B22" s="148" t="str">
        <f>IF(C22="","",VLOOKUP('Opći dio'!$C$3,'Opći dio'!$L$6:$U$135,9,FALSE))</f>
        <v>Javni instituti</v>
      </c>
      <c r="C22" s="154">
        <v>11</v>
      </c>
      <c r="D22" s="149" t="str">
        <f t="shared" si="1"/>
        <v>Opći prihodi i primici</v>
      </c>
      <c r="E22" s="154">
        <v>3237</v>
      </c>
      <c r="F22" s="149" t="str">
        <f t="shared" si="0"/>
        <v>Intelektualne i osobne usluge</v>
      </c>
      <c r="G22" s="201" t="s">
        <v>911</v>
      </c>
      <c r="H22" s="149" t="str">
        <f t="shared" si="2"/>
        <v>PROGRAMSKO FINANCIRANJE JAVNIH ZNANSTVENIH INSTITUTA</v>
      </c>
      <c r="I22" s="198">
        <v>44554</v>
      </c>
      <c r="J22" s="198">
        <v>46719</v>
      </c>
      <c r="K22" s="198">
        <v>51116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08008</v>
      </c>
      <c r="B23" s="148" t="str">
        <f>IF(C23="","",VLOOKUP('Opći dio'!$C$3,'Opći dio'!$L$6:$U$135,9,FALSE))</f>
        <v>Javni instituti</v>
      </c>
      <c r="C23" s="154">
        <v>11</v>
      </c>
      <c r="D23" s="149" t="str">
        <f t="shared" si="1"/>
        <v>Opći prihodi i primici</v>
      </c>
      <c r="E23" s="154">
        <v>3239</v>
      </c>
      <c r="F23" s="149" t="str">
        <f t="shared" si="0"/>
        <v>Ostale usluge</v>
      </c>
      <c r="G23" s="201" t="s">
        <v>911</v>
      </c>
      <c r="H23" s="149" t="str">
        <f t="shared" si="2"/>
        <v>PROGRAMSKO FINANCIRANJE JAVNIH ZNANSTVENIH INSTITUTA</v>
      </c>
      <c r="I23" s="198">
        <v>22583</v>
      </c>
      <c r="J23" s="198">
        <v>23645</v>
      </c>
      <c r="K23" s="198">
        <v>25037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08008</v>
      </c>
      <c r="B24" s="148" t="str">
        <f>IF(C24="","",VLOOKUP('Opći dio'!$C$3,'Opći dio'!$L$6:$U$135,9,FALSE))</f>
        <v>Javni instituti</v>
      </c>
      <c r="C24" s="154">
        <v>11</v>
      </c>
      <c r="D24" s="149" t="str">
        <f t="shared" si="1"/>
        <v>Opći prihodi i primici</v>
      </c>
      <c r="E24" s="154">
        <v>3241</v>
      </c>
      <c r="F24" s="149" t="str">
        <f t="shared" si="0"/>
        <v>Naknade troškova osobama izvan radnog odnosa</v>
      </c>
      <c r="G24" s="201" t="s">
        <v>911</v>
      </c>
      <c r="H24" s="149" t="str">
        <f t="shared" si="2"/>
        <v>PROGRAMSKO FINANCIRANJE JAVNIH ZNANSTVENIH INSTITUTA</v>
      </c>
      <c r="I24" s="198">
        <v>1458</v>
      </c>
      <c r="J24" s="198">
        <v>1511</v>
      </c>
      <c r="K24" s="198">
        <v>1624</v>
      </c>
      <c r="M24" s="144" t="str">
        <f t="shared" si="3"/>
        <v>324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08008</v>
      </c>
      <c r="B25" s="148" t="str">
        <f>IF(C25="","",VLOOKUP('Opći dio'!$C$3,'Opći dio'!$L$6:$U$135,9,FALSE))</f>
        <v>Javni instituti</v>
      </c>
      <c r="C25" s="154">
        <v>11</v>
      </c>
      <c r="D25" s="149" t="str">
        <f t="shared" si="1"/>
        <v>Opći prihodi i primici</v>
      </c>
      <c r="E25" s="154">
        <v>3291</v>
      </c>
      <c r="F25" s="149" t="str">
        <f t="shared" si="0"/>
        <v>Naknade za rad predstavničkih i izvršnih tijela, povjerensta</v>
      </c>
      <c r="G25" s="201" t="s">
        <v>911</v>
      </c>
      <c r="H25" s="149" t="str">
        <f t="shared" si="2"/>
        <v>PROGRAMSKO FINANCIRANJE JAVNIH ZNANSTVENIH INSTITUTA</v>
      </c>
      <c r="I25" s="198">
        <v>8212</v>
      </c>
      <c r="J25" s="198">
        <v>8514</v>
      </c>
      <c r="K25" s="198">
        <v>9149</v>
      </c>
      <c r="M25" s="144" t="str">
        <f t="shared" si="3"/>
        <v>329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08008</v>
      </c>
      <c r="B26" s="148" t="str">
        <f>IF(C26="","",VLOOKUP('Opći dio'!$C$3,'Opći dio'!$L$6:$U$135,9,FALSE))</f>
        <v>Javni instituti</v>
      </c>
      <c r="C26" s="154">
        <v>11</v>
      </c>
      <c r="D26" s="149" t="str">
        <f t="shared" si="1"/>
        <v>Opći prihodi i primici</v>
      </c>
      <c r="E26" s="154">
        <v>3292</v>
      </c>
      <c r="F26" s="149" t="str">
        <f t="shared" si="0"/>
        <v>Premije osiguranja</v>
      </c>
      <c r="G26" s="201" t="s">
        <v>911</v>
      </c>
      <c r="H26" s="149" t="str">
        <f t="shared" si="2"/>
        <v>PROGRAMSKO FINANCIRANJE JAVNIH ZNANSTVENIH INSTITUTA</v>
      </c>
      <c r="I26" s="198">
        <v>5649</v>
      </c>
      <c r="J26" s="198">
        <v>5856</v>
      </c>
      <c r="K26" s="198">
        <v>6294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08008</v>
      </c>
      <c r="B27" s="148" t="str">
        <f>IF(C27="","",VLOOKUP('Opći dio'!$C$3,'Opći dio'!$L$6:$U$135,9,FALSE))</f>
        <v>Javni instituti</v>
      </c>
      <c r="C27" s="154">
        <v>11</v>
      </c>
      <c r="D27" s="149" t="str">
        <f t="shared" si="1"/>
        <v>Opći prihodi i primici</v>
      </c>
      <c r="E27" s="154">
        <v>3293</v>
      </c>
      <c r="F27" s="149" t="str">
        <f t="shared" si="0"/>
        <v>Reprezentacija</v>
      </c>
      <c r="G27" s="201" t="s">
        <v>911</v>
      </c>
      <c r="H27" s="149" t="str">
        <f t="shared" si="2"/>
        <v>PROGRAMSKO FINANCIRANJE JAVNIH ZNANSTVENIH INSTITUTA</v>
      </c>
      <c r="I27" s="198">
        <v>4087</v>
      </c>
      <c r="J27" s="198">
        <v>4237</v>
      </c>
      <c r="K27" s="198">
        <v>4553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08008</v>
      </c>
      <c r="B28" s="148" t="str">
        <f>IF(C28="","",VLOOKUP('Opći dio'!$C$3,'Opći dio'!$L$6:$U$135,9,FALSE))</f>
        <v>Javni instituti</v>
      </c>
      <c r="C28" s="154">
        <v>11</v>
      </c>
      <c r="D28" s="149" t="str">
        <f t="shared" si="1"/>
        <v>Opći prihodi i primici</v>
      </c>
      <c r="E28" s="154">
        <v>3294</v>
      </c>
      <c r="F28" s="149" t="str">
        <f t="shared" si="0"/>
        <v>Članarine i norme</v>
      </c>
      <c r="G28" s="201" t="s">
        <v>911</v>
      </c>
      <c r="H28" s="149" t="str">
        <f t="shared" si="2"/>
        <v>PROGRAMSKO FINANCIRANJE JAVNIH ZNANSTVENIH INSTITUTA</v>
      </c>
      <c r="I28" s="198">
        <v>3586</v>
      </c>
      <c r="J28" s="198">
        <v>3711</v>
      </c>
      <c r="K28" s="198">
        <v>3962</v>
      </c>
      <c r="M28" s="144" t="str">
        <f t="shared" si="3"/>
        <v>329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08008</v>
      </c>
      <c r="B29" s="148" t="str">
        <f>IF(C29="","",VLOOKUP('Opći dio'!$C$3,'Opći dio'!$L$6:$U$135,9,FALSE))</f>
        <v>Javni instituti</v>
      </c>
      <c r="C29" s="154">
        <v>11</v>
      </c>
      <c r="D29" s="149" t="str">
        <f t="shared" si="1"/>
        <v>Opći prihodi i primici</v>
      </c>
      <c r="E29" s="154">
        <v>3434</v>
      </c>
      <c r="F29" s="149" t="str">
        <f t="shared" si="0"/>
        <v>Ostali nespomenuti financijski rashodi</v>
      </c>
      <c r="G29" s="201" t="s">
        <v>911</v>
      </c>
      <c r="H29" s="149" t="str">
        <f t="shared" si="2"/>
        <v>PROGRAMSKO FINANCIRANJE JAVNIH ZNANSTVENIH INSTITUTA</v>
      </c>
      <c r="I29" s="198">
        <v>12670</v>
      </c>
      <c r="J29" s="198">
        <v>12671</v>
      </c>
      <c r="K29" s="198">
        <v>13603</v>
      </c>
      <c r="M29" s="144" t="str">
        <f t="shared" si="3"/>
        <v>343</v>
      </c>
      <c r="N29" s="144" t="str">
        <f t="shared" si="4"/>
        <v>34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08008</v>
      </c>
      <c r="B30" s="148" t="str">
        <f>IF(C30="","",VLOOKUP('Opći dio'!$C$3,'Opći dio'!$L$6:$U$135,9,FALSE))</f>
        <v>Javni instituti</v>
      </c>
      <c r="C30" s="154">
        <v>11</v>
      </c>
      <c r="D30" s="149" t="str">
        <f t="shared" si="1"/>
        <v>Opći prihodi i primici</v>
      </c>
      <c r="E30" s="154">
        <v>3236</v>
      </c>
      <c r="F30" s="149" t="str">
        <f t="shared" si="0"/>
        <v>Zdravstvene i veterinarske usluge</v>
      </c>
      <c r="G30" s="201" t="s">
        <v>911</v>
      </c>
      <c r="H30" s="149" t="str">
        <f t="shared" si="2"/>
        <v>PROGRAMSKO FINANCIRANJE JAVNIH ZNANSTVENIH INSTITUTA</v>
      </c>
      <c r="I30" s="198">
        <v>8197</v>
      </c>
      <c r="J30" s="198">
        <v>8499</v>
      </c>
      <c r="K30" s="198">
        <v>9133</v>
      </c>
      <c r="M30" s="144" t="str">
        <f t="shared" si="3"/>
        <v>323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08008</v>
      </c>
      <c r="B31" s="148" t="str">
        <f>IF(C31="","",VLOOKUP('Opći dio'!$C$3,'Opći dio'!$L$6:$U$135,9,FALSE))</f>
        <v>Javni instituti</v>
      </c>
      <c r="C31" s="154">
        <v>11</v>
      </c>
      <c r="D31" s="149" t="str">
        <f t="shared" si="1"/>
        <v>Opći prihodi i primici</v>
      </c>
      <c r="E31" s="154">
        <v>3238</v>
      </c>
      <c r="F31" s="149" t="str">
        <f t="shared" si="0"/>
        <v>Računalne usluge</v>
      </c>
      <c r="G31" s="201" t="s">
        <v>911</v>
      </c>
      <c r="H31" s="149" t="str">
        <f t="shared" si="2"/>
        <v>PROGRAMSKO FINANCIRANJE JAVNIH ZNANSTVENIH INSTITUTA</v>
      </c>
      <c r="I31" s="198">
        <v>19926</v>
      </c>
      <c r="J31" s="198">
        <v>20660</v>
      </c>
      <c r="K31" s="198">
        <v>22201</v>
      </c>
      <c r="M31" s="144" t="str">
        <f t="shared" si="3"/>
        <v>323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08008</v>
      </c>
      <c r="B32" s="148" t="str">
        <f>IF(C32="","",VLOOKUP('Opći dio'!$C$3,'Opći dio'!$L$6:$U$135,9,FALSE))</f>
        <v>Javni instituti</v>
      </c>
      <c r="C32" s="154">
        <v>11</v>
      </c>
      <c r="D32" s="149" t="str">
        <f t="shared" si="1"/>
        <v>Opći prihodi i primici</v>
      </c>
      <c r="E32" s="154">
        <v>4221</v>
      </c>
      <c r="F32" s="149" t="str">
        <f t="shared" si="0"/>
        <v>Uredska oprema i namještaj</v>
      </c>
      <c r="G32" s="201" t="s">
        <v>911</v>
      </c>
      <c r="H32" s="149" t="str">
        <f t="shared" si="2"/>
        <v>PROGRAMSKO FINANCIRANJE JAVNIH ZNANSTVENIH INSTITUTA</v>
      </c>
      <c r="I32" s="198">
        <v>10000</v>
      </c>
      <c r="J32" s="198">
        <v>10000</v>
      </c>
      <c r="K32" s="198">
        <v>10000</v>
      </c>
      <c r="M32" s="144" t="str">
        <f t="shared" si="3"/>
        <v>422</v>
      </c>
      <c r="N32" s="144" t="str">
        <f t="shared" si="4"/>
        <v>42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08008</v>
      </c>
      <c r="B33" s="148" t="str">
        <f>IF(C33="","",VLOOKUP('Opći dio'!$C$3,'Opći dio'!$L$6:$U$135,9,FALSE))</f>
        <v>Javni instituti</v>
      </c>
      <c r="C33" s="154">
        <v>11</v>
      </c>
      <c r="D33" s="149" t="str">
        <f t="shared" si="1"/>
        <v>Opći prihodi i primici</v>
      </c>
      <c r="E33" s="154">
        <v>4224</v>
      </c>
      <c r="F33" s="149" t="str">
        <f t="shared" si="0"/>
        <v>Medicinska i laboratorijska oprema</v>
      </c>
      <c r="G33" s="201" t="s">
        <v>911</v>
      </c>
      <c r="H33" s="149" t="str">
        <f t="shared" si="2"/>
        <v>PROGRAMSKO FINANCIRANJE JAVNIH ZNANSTVENIH INSTITUTA</v>
      </c>
      <c r="I33" s="198">
        <v>7000</v>
      </c>
      <c r="J33" s="198">
        <v>5000</v>
      </c>
      <c r="K33" s="198">
        <v>5000</v>
      </c>
      <c r="M33" s="144" t="str">
        <f t="shared" si="3"/>
        <v>422</v>
      </c>
      <c r="N33" s="144" t="str">
        <f t="shared" si="4"/>
        <v>42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08008</v>
      </c>
      <c r="B34" s="148" t="str">
        <f>IF(C34="","",VLOOKUP('Opći dio'!$C$3,'Opći dio'!$L$6:$U$135,9,FALSE))</f>
        <v>Javni instituti</v>
      </c>
      <c r="C34" s="154">
        <v>11</v>
      </c>
      <c r="D34" s="149" t="str">
        <f t="shared" si="1"/>
        <v>Opći prihodi i primici</v>
      </c>
      <c r="E34" s="154">
        <v>4225</v>
      </c>
      <c r="F34" s="149" t="str">
        <f t="shared" si="0"/>
        <v>Instrumenti, uređaji i strojevi</v>
      </c>
      <c r="G34" s="201" t="s">
        <v>911</v>
      </c>
      <c r="H34" s="149" t="str">
        <f t="shared" si="2"/>
        <v>PROGRAMSKO FINANCIRANJE JAVNIH ZNANSTVENIH INSTITUTA</v>
      </c>
      <c r="I34" s="198">
        <v>6000</v>
      </c>
      <c r="J34" s="198">
        <v>4000</v>
      </c>
      <c r="K34" s="198">
        <v>5300</v>
      </c>
      <c r="M34" s="144" t="str">
        <f t="shared" si="3"/>
        <v>422</v>
      </c>
      <c r="N34" s="144" t="str">
        <f t="shared" si="4"/>
        <v>42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08008</v>
      </c>
      <c r="B35" s="148" t="str">
        <f>IF(C35="","",VLOOKUP('Opći dio'!$C$3,'Opći dio'!$L$6:$U$135,9,FALSE))</f>
        <v>Javni instituti</v>
      </c>
      <c r="C35" s="154">
        <v>52</v>
      </c>
      <c r="D35" s="149" t="str">
        <f t="shared" si="1"/>
        <v>Ostale pomoći</v>
      </c>
      <c r="E35" s="154">
        <v>3222</v>
      </c>
      <c r="F35" s="149" t="str">
        <f t="shared" si="0"/>
        <v>Materijal i sirovine</v>
      </c>
      <c r="G35" s="201" t="s">
        <v>909</v>
      </c>
      <c r="H35" s="149" t="str">
        <f t="shared" si="2"/>
        <v>REDOVNA DJELATNOST JAVNIH INSTITUTA (IZ EVIDENCIJSKIH PRIHODA)</v>
      </c>
      <c r="I35" s="198">
        <v>161600</v>
      </c>
      <c r="J35" s="198">
        <v>293500</v>
      </c>
      <c r="K35" s="198">
        <v>198000</v>
      </c>
      <c r="M35" s="144" t="str">
        <f t="shared" si="3"/>
        <v>322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08008</v>
      </c>
      <c r="B36" s="148" t="str">
        <f>IF(C36="","",VLOOKUP('Opći dio'!$C$3,'Opći dio'!$L$6:$U$135,9,FALSE))</f>
        <v>Javni instituti</v>
      </c>
      <c r="C36" s="154">
        <v>52</v>
      </c>
      <c r="D36" s="149" t="str">
        <f t="shared" si="1"/>
        <v>Ostale pomoći</v>
      </c>
      <c r="E36" s="154">
        <v>3211</v>
      </c>
      <c r="F36" s="149" t="str">
        <f t="shared" si="0"/>
        <v>Službena putovanja</v>
      </c>
      <c r="G36" s="201" t="s">
        <v>909</v>
      </c>
      <c r="H36" s="149" t="str">
        <f t="shared" si="2"/>
        <v>REDOVNA DJELATNOST JAVNIH INSTITUTA (IZ EVIDENCIJSKIH PRIHODA)</v>
      </c>
      <c r="I36" s="198">
        <v>39400</v>
      </c>
      <c r="J36" s="198">
        <v>39400</v>
      </c>
      <c r="K36" s="198">
        <v>0</v>
      </c>
      <c r="M36" s="144" t="str">
        <f t="shared" si="3"/>
        <v>321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08008</v>
      </c>
      <c r="B37" s="148" t="str">
        <f>IF(C37="","",VLOOKUP('Opći dio'!$C$3,'Opći dio'!$L$6:$U$135,9,FALSE))</f>
        <v>Javni instituti</v>
      </c>
      <c r="C37" s="154">
        <v>52</v>
      </c>
      <c r="D37" s="149" t="str">
        <f t="shared" si="1"/>
        <v>Ostale pomoći</v>
      </c>
      <c r="E37" s="154">
        <v>3237</v>
      </c>
      <c r="F37" s="149" t="str">
        <f t="shared" si="0"/>
        <v>Intelektualne i osobne usluge</v>
      </c>
      <c r="G37" s="201" t="s">
        <v>909</v>
      </c>
      <c r="H37" s="149" t="str">
        <f t="shared" si="2"/>
        <v>REDOVNA DJELATNOST JAVNIH INSTITUTA (IZ EVIDENCIJSKIH PRIHODA)</v>
      </c>
      <c r="I37" s="198">
        <v>722000</v>
      </c>
      <c r="J37" s="198">
        <v>289200</v>
      </c>
      <c r="K37" s="198">
        <v>22000</v>
      </c>
      <c r="M37" s="144" t="str">
        <f t="shared" si="3"/>
        <v>323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08008</v>
      </c>
      <c r="B38" s="148" t="str">
        <f>IF(C38="","",VLOOKUP('Opći dio'!$C$3,'Opći dio'!$L$6:$U$135,9,FALSE))</f>
        <v>Javni instituti</v>
      </c>
      <c r="C38" s="154">
        <v>52</v>
      </c>
      <c r="D38" s="149" t="str">
        <f t="shared" si="1"/>
        <v>Ostale pomoći</v>
      </c>
      <c r="E38" s="154">
        <v>3239</v>
      </c>
      <c r="F38" s="149" t="str">
        <f t="shared" si="0"/>
        <v>Ostale usluge</v>
      </c>
      <c r="G38" s="201" t="s">
        <v>909</v>
      </c>
      <c r="H38" s="149" t="str">
        <f t="shared" si="2"/>
        <v>REDOVNA DJELATNOST JAVNIH INSTITUTA (IZ EVIDENCIJSKIH PRIHODA)</v>
      </c>
      <c r="I38" s="198">
        <v>261800</v>
      </c>
      <c r="J38" s="198">
        <v>521900</v>
      </c>
      <c r="K38" s="198">
        <v>412000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08008</v>
      </c>
      <c r="B39" s="148" t="str">
        <f>IF(C39="","",VLOOKUP('Opći dio'!$C$3,'Opći dio'!$L$6:$U$135,9,FALSE))</f>
        <v>Javni instituti</v>
      </c>
      <c r="C39" s="154">
        <v>52</v>
      </c>
      <c r="D39" s="149" t="str">
        <f t="shared" si="1"/>
        <v>Ostale pomoći</v>
      </c>
      <c r="E39" s="154">
        <v>4221</v>
      </c>
      <c r="F39" s="149" t="str">
        <f t="shared" si="0"/>
        <v>Uredska oprema i namještaj</v>
      </c>
      <c r="G39" s="201" t="s">
        <v>909</v>
      </c>
      <c r="H39" s="149" t="str">
        <f t="shared" si="2"/>
        <v>REDOVNA DJELATNOST JAVNIH INSTITUTA (IZ EVIDENCIJSKIH PRIHODA)</v>
      </c>
      <c r="I39" s="198">
        <v>20000</v>
      </c>
      <c r="J39" s="198">
        <v>0</v>
      </c>
      <c r="K39" s="198">
        <v>0</v>
      </c>
      <c r="M39" s="144" t="str">
        <f t="shared" si="3"/>
        <v>422</v>
      </c>
      <c r="N39" s="144" t="str">
        <f t="shared" si="4"/>
        <v>42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08008</v>
      </c>
      <c r="B40" s="148" t="str">
        <f>IF(C40="","",VLOOKUP('Opći dio'!$C$3,'Opći dio'!$L$6:$U$135,9,FALSE))</f>
        <v>Javni instituti</v>
      </c>
      <c r="C40" s="154">
        <v>52</v>
      </c>
      <c r="D40" s="149" t="str">
        <f t="shared" si="1"/>
        <v>Ostale pomoći</v>
      </c>
      <c r="E40" s="154">
        <v>4224</v>
      </c>
      <c r="F40" s="149" t="str">
        <f t="shared" si="0"/>
        <v>Medicinska i laboratorijska oprema</v>
      </c>
      <c r="G40" s="201" t="s">
        <v>909</v>
      </c>
      <c r="H40" s="149" t="str">
        <f t="shared" si="2"/>
        <v>REDOVNA DJELATNOST JAVNIH INSTITUTA (IZ EVIDENCIJSKIH PRIHODA)</v>
      </c>
      <c r="I40" s="198">
        <v>200000</v>
      </c>
      <c r="J40" s="198">
        <v>456000</v>
      </c>
      <c r="K40" s="198">
        <v>968000</v>
      </c>
      <c r="M40" s="144" t="str">
        <f t="shared" si="3"/>
        <v>422</v>
      </c>
      <c r="N40" s="144" t="str">
        <f t="shared" si="4"/>
        <v>42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08008</v>
      </c>
      <c r="B41" s="148" t="str">
        <f>IF(C41="","",VLOOKUP('Opći dio'!$C$3,'Opći dio'!$L$6:$U$135,9,FALSE))</f>
        <v>Javni instituti</v>
      </c>
      <c r="C41" s="154">
        <v>31</v>
      </c>
      <c r="D41" s="149" t="str">
        <f t="shared" si="1"/>
        <v>Vlastiti prihodi</v>
      </c>
      <c r="E41" s="154">
        <v>3222</v>
      </c>
      <c r="F41" s="149" t="str">
        <f t="shared" si="0"/>
        <v>Materijal i sirovine</v>
      </c>
      <c r="G41" s="201" t="s">
        <v>901</v>
      </c>
      <c r="H41" s="149" t="str">
        <f t="shared" si="2"/>
        <v>REDOVNA DJELATNOST JAVNIH INSTITUTA</v>
      </c>
      <c r="I41" s="198">
        <v>29288094</v>
      </c>
      <c r="J41" s="198">
        <v>29200660</v>
      </c>
      <c r="K41" s="198">
        <v>29291827</v>
      </c>
      <c r="M41" s="144" t="str">
        <f t="shared" si="3"/>
        <v>322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08008</v>
      </c>
      <c r="B42" s="148" t="str">
        <f>IF(C42="","",VLOOKUP('Opći dio'!$C$3,'Opći dio'!$L$6:$U$135,9,FALSE))</f>
        <v>Javni instituti</v>
      </c>
      <c r="C42" s="154">
        <v>31</v>
      </c>
      <c r="D42" s="149" t="str">
        <f t="shared" si="1"/>
        <v>Vlastiti prihodi</v>
      </c>
      <c r="E42" s="154">
        <v>3211</v>
      </c>
      <c r="F42" s="149" t="str">
        <f t="shared" si="0"/>
        <v>Službena putovanja</v>
      </c>
      <c r="G42" s="201" t="s">
        <v>901</v>
      </c>
      <c r="H42" s="149" t="str">
        <f t="shared" si="2"/>
        <v>REDOVNA DJELATNOST JAVNIH INSTITUTA</v>
      </c>
      <c r="I42" s="198">
        <v>624394</v>
      </c>
      <c r="J42" s="198">
        <v>617189</v>
      </c>
      <c r="K42" s="198">
        <v>652917</v>
      </c>
      <c r="M42" s="144" t="str">
        <f t="shared" si="3"/>
        <v>321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08008</v>
      </c>
      <c r="B43" s="148" t="str">
        <f>IF(C43="","",VLOOKUP('Opći dio'!$C$3,'Opći dio'!$L$6:$U$135,9,FALSE))</f>
        <v>Javni instituti</v>
      </c>
      <c r="C43" s="154">
        <v>31</v>
      </c>
      <c r="D43" s="149" t="str">
        <f t="shared" si="1"/>
        <v>Vlastiti prihodi</v>
      </c>
      <c r="E43" s="154">
        <v>3212</v>
      </c>
      <c r="F43" s="149" t="str">
        <f t="shared" si="0"/>
        <v>Naknade za prijevoz, za rad na terenu i odvojeni život</v>
      </c>
      <c r="G43" s="201" t="s">
        <v>901</v>
      </c>
      <c r="H43" s="149" t="str">
        <f t="shared" si="2"/>
        <v>REDOVNA DJELATNOST JAVNIH INSTITUTA</v>
      </c>
      <c r="I43" s="198">
        <v>707527</v>
      </c>
      <c r="J43" s="198">
        <v>699534</v>
      </c>
      <c r="K43" s="198">
        <v>699534</v>
      </c>
      <c r="M43" s="144" t="str">
        <f t="shared" si="3"/>
        <v>321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08008</v>
      </c>
      <c r="B44" s="148" t="str">
        <f>IF(C44="","",VLOOKUP('Opći dio'!$C$3,'Opći dio'!$L$6:$U$135,9,FALSE))</f>
        <v>Javni instituti</v>
      </c>
      <c r="C44" s="154">
        <v>31</v>
      </c>
      <c r="D44" s="149" t="str">
        <f t="shared" si="1"/>
        <v>Vlastiti prihodi</v>
      </c>
      <c r="E44" s="154">
        <v>3213</v>
      </c>
      <c r="F44" s="149" t="str">
        <f t="shared" si="0"/>
        <v>Stručno usavršavanje zaposlenika</v>
      </c>
      <c r="G44" s="201" t="s">
        <v>901</v>
      </c>
      <c r="H44" s="149" t="str">
        <f t="shared" si="2"/>
        <v>REDOVNA DJELATNOST JAVNIH INSTITUTA</v>
      </c>
      <c r="I44" s="198">
        <v>50010</v>
      </c>
      <c r="J44" s="198">
        <v>48246</v>
      </c>
      <c r="K44" s="198">
        <v>45269</v>
      </c>
      <c r="M44" s="144" t="str">
        <f t="shared" si="3"/>
        <v>321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08008</v>
      </c>
      <c r="B45" s="148" t="str">
        <f>IF(C45="","",VLOOKUP('Opći dio'!$C$3,'Opći dio'!$L$6:$U$135,9,FALSE))</f>
        <v>Javni instituti</v>
      </c>
      <c r="C45" s="154">
        <v>31</v>
      </c>
      <c r="D45" s="149" t="str">
        <f t="shared" si="1"/>
        <v>Vlastiti prihodi</v>
      </c>
      <c r="E45" s="154">
        <v>3214</v>
      </c>
      <c r="F45" s="149" t="str">
        <f t="shared" si="0"/>
        <v>Ostale naknade troškova zaposlenima</v>
      </c>
      <c r="G45" s="201" t="s">
        <v>901</v>
      </c>
      <c r="H45" s="149" t="str">
        <f t="shared" si="2"/>
        <v>REDOVNA DJELATNOST JAVNIH INSTITUTA</v>
      </c>
      <c r="I45" s="198">
        <v>44237</v>
      </c>
      <c r="J45" s="198">
        <v>44159</v>
      </c>
      <c r="K45" s="198">
        <v>43992</v>
      </c>
      <c r="M45" s="144" t="str">
        <f t="shared" si="3"/>
        <v>321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08008</v>
      </c>
      <c r="B46" s="148" t="str">
        <f>IF(C46="","",VLOOKUP('Opći dio'!$C$3,'Opći dio'!$L$6:$U$135,9,FALSE))</f>
        <v>Javni instituti</v>
      </c>
      <c r="C46" s="154">
        <v>31</v>
      </c>
      <c r="D46" s="149" t="str">
        <f t="shared" si="1"/>
        <v>Vlastiti prihodi</v>
      </c>
      <c r="E46" s="154">
        <v>3221</v>
      </c>
      <c r="F46" s="149" t="str">
        <f t="shared" si="0"/>
        <v>Uredski materijal i ostali materijalni rashodi</v>
      </c>
      <c r="G46" s="201" t="s">
        <v>901</v>
      </c>
      <c r="H46" s="149" t="str">
        <f t="shared" si="2"/>
        <v>REDOVNA DJELATNOST JAVNIH INSTITUTA</v>
      </c>
      <c r="I46" s="198">
        <v>166776</v>
      </c>
      <c r="J46" s="198">
        <v>165196</v>
      </c>
      <c r="K46" s="198">
        <v>162847</v>
      </c>
      <c r="M46" s="144" t="str">
        <f t="shared" si="3"/>
        <v>322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08008</v>
      </c>
      <c r="B47" s="148" t="str">
        <f>IF(C47="","",VLOOKUP('Opći dio'!$C$3,'Opći dio'!$L$6:$U$135,9,FALSE))</f>
        <v>Javni instituti</v>
      </c>
      <c r="C47" s="154">
        <v>31</v>
      </c>
      <c r="D47" s="149" t="str">
        <f t="shared" si="1"/>
        <v>Vlastiti prihodi</v>
      </c>
      <c r="E47" s="154">
        <v>3223</v>
      </c>
      <c r="F47" s="149" t="str">
        <f t="shared" si="0"/>
        <v>Energija</v>
      </c>
      <c r="G47" s="201" t="s">
        <v>901</v>
      </c>
      <c r="H47" s="149" t="str">
        <f t="shared" si="2"/>
        <v>REDOVNA DJELATNOST JAVNIH INSTITUTA</v>
      </c>
      <c r="I47" s="198">
        <v>1538297</v>
      </c>
      <c r="J47" s="198">
        <v>1534834</v>
      </c>
      <c r="K47" s="198">
        <v>1527559</v>
      </c>
      <c r="M47" s="144" t="str">
        <f t="shared" si="3"/>
        <v>322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08008</v>
      </c>
      <c r="B48" s="148" t="str">
        <f>IF(C48="","",VLOOKUP('Opći dio'!$C$3,'Opći dio'!$L$6:$U$135,9,FALSE))</f>
        <v>Javni instituti</v>
      </c>
      <c r="C48" s="154">
        <v>31</v>
      </c>
      <c r="D48" s="149" t="str">
        <f t="shared" si="1"/>
        <v>Vlastiti prihodi</v>
      </c>
      <c r="E48" s="154">
        <v>3224</v>
      </c>
      <c r="F48" s="149" t="str">
        <f t="shared" si="0"/>
        <v>Materijal i dijelovi za tekuće i investicijsko održavanje</v>
      </c>
      <c r="G48" s="201" t="s">
        <v>901</v>
      </c>
      <c r="H48" s="149" t="str">
        <f t="shared" si="2"/>
        <v>REDOVNA DJELATNOST JAVNIH INSTITUTA</v>
      </c>
      <c r="I48" s="198">
        <v>380195</v>
      </c>
      <c r="J48" s="198">
        <v>379784</v>
      </c>
      <c r="K48" s="198">
        <v>378920</v>
      </c>
      <c r="M48" s="144" t="str">
        <f t="shared" si="3"/>
        <v>322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08008</v>
      </c>
      <c r="B49" s="148" t="str">
        <f>IF(C49="","",VLOOKUP('Opći dio'!$C$3,'Opći dio'!$L$6:$U$135,9,FALSE))</f>
        <v>Javni instituti</v>
      </c>
      <c r="C49" s="154">
        <v>31</v>
      </c>
      <c r="D49" s="149" t="str">
        <f t="shared" si="1"/>
        <v>Vlastiti prihodi</v>
      </c>
      <c r="E49" s="154">
        <v>3225</v>
      </c>
      <c r="F49" s="149" t="str">
        <f t="shared" si="0"/>
        <v>Sitni inventar i auto gume</v>
      </c>
      <c r="G49" s="201" t="s">
        <v>901</v>
      </c>
      <c r="H49" s="149" t="str">
        <f t="shared" si="2"/>
        <v>REDOVNA DJELATNOST JAVNIH INSTITUTA</v>
      </c>
      <c r="I49" s="198">
        <v>49244</v>
      </c>
      <c r="J49" s="198">
        <v>49140</v>
      </c>
      <c r="K49" s="198">
        <v>48923</v>
      </c>
      <c r="M49" s="144" t="str">
        <f t="shared" si="3"/>
        <v>322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08008</v>
      </c>
      <c r="B50" s="148" t="str">
        <f>IF(C50="","",VLOOKUP('Opći dio'!$C$3,'Opći dio'!$L$6:$U$135,9,FALSE))</f>
        <v>Javni instituti</v>
      </c>
      <c r="C50" s="154">
        <v>31</v>
      </c>
      <c r="D50" s="149" t="str">
        <f t="shared" si="1"/>
        <v>Vlastiti prihodi</v>
      </c>
      <c r="E50" s="154">
        <v>3227</v>
      </c>
      <c r="F50" s="149" t="str">
        <f t="shared" si="0"/>
        <v>Službena, radna i zaštitna odjeća i obuća</v>
      </c>
      <c r="G50" s="201" t="s">
        <v>901</v>
      </c>
      <c r="H50" s="149" t="str">
        <f t="shared" si="2"/>
        <v>REDOVNA DJELATNOST JAVNIH INSTITUTA</v>
      </c>
      <c r="I50" s="198">
        <v>52853</v>
      </c>
      <c r="J50" s="198">
        <v>52812</v>
      </c>
      <c r="K50" s="198">
        <v>52725</v>
      </c>
      <c r="M50" s="144" t="str">
        <f t="shared" si="3"/>
        <v>322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08008</v>
      </c>
      <c r="B51" s="148" t="str">
        <f>IF(C51="","",VLOOKUP('Opći dio'!$C$3,'Opći dio'!$L$6:$U$135,9,FALSE))</f>
        <v>Javni instituti</v>
      </c>
      <c r="C51" s="154">
        <v>31</v>
      </c>
      <c r="D51" s="149" t="str">
        <f t="shared" si="1"/>
        <v>Vlastiti prihodi</v>
      </c>
      <c r="E51" s="154">
        <v>3231</v>
      </c>
      <c r="F51" s="149" t="str">
        <f t="shared" si="0"/>
        <v>Usluge telefona, pošte i prijevoza</v>
      </c>
      <c r="G51" s="201" t="s">
        <v>901</v>
      </c>
      <c r="H51" s="149" t="str">
        <f t="shared" si="2"/>
        <v>REDOVNA DJELATNOST JAVNIH INSTITUTA</v>
      </c>
      <c r="I51" s="198">
        <v>845294</v>
      </c>
      <c r="J51" s="198">
        <v>844215</v>
      </c>
      <c r="K51" s="198">
        <v>841905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08008</v>
      </c>
      <c r="B52" s="148" t="str">
        <f>IF(C52="","",VLOOKUP('Opći dio'!$C$3,'Opći dio'!$L$6:$U$135,9,FALSE))</f>
        <v>Javni instituti</v>
      </c>
      <c r="C52" s="154">
        <v>31</v>
      </c>
      <c r="D52" s="149" t="str">
        <f t="shared" si="1"/>
        <v>Vlastiti prihodi</v>
      </c>
      <c r="E52" s="154">
        <v>3232</v>
      </c>
      <c r="F52" s="149" t="str">
        <f t="shared" si="0"/>
        <v>Usluge tekućeg i investicijskog održavanja</v>
      </c>
      <c r="G52" s="201" t="s">
        <v>901</v>
      </c>
      <c r="H52" s="149" t="str">
        <f t="shared" si="2"/>
        <v>REDOVNA DJELATNOST JAVNIH INSTITUTA</v>
      </c>
      <c r="I52" s="198">
        <v>806575</v>
      </c>
      <c r="J52" s="198">
        <v>805071</v>
      </c>
      <c r="K52" s="198">
        <v>801908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08008</v>
      </c>
      <c r="B53" s="148" t="str">
        <f>IF(C53="","",VLOOKUP('Opći dio'!$C$3,'Opći dio'!$L$6:$U$135,9,FALSE))</f>
        <v>Javni instituti</v>
      </c>
      <c r="C53" s="154">
        <v>31</v>
      </c>
      <c r="D53" s="149" t="str">
        <f t="shared" si="1"/>
        <v>Vlastiti prihodi</v>
      </c>
      <c r="E53" s="154">
        <v>3233</v>
      </c>
      <c r="F53" s="149" t="str">
        <f t="shared" si="0"/>
        <v>Usluge promidžbe i informiranja</v>
      </c>
      <c r="G53" s="201" t="s">
        <v>901</v>
      </c>
      <c r="H53" s="149" t="str">
        <f t="shared" si="2"/>
        <v>REDOVNA DJELATNOST JAVNIH INSTITUTA</v>
      </c>
      <c r="I53" s="198">
        <v>809662</v>
      </c>
      <c r="J53" s="198">
        <v>809424</v>
      </c>
      <c r="K53" s="198">
        <v>808424</v>
      </c>
      <c r="M53" s="144" t="str">
        <f t="shared" si="3"/>
        <v>323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08008</v>
      </c>
      <c r="B54" s="148" t="str">
        <f>IF(C54="","",VLOOKUP('Opći dio'!$C$3,'Opći dio'!$L$6:$U$135,9,FALSE))</f>
        <v>Javni instituti</v>
      </c>
      <c r="C54" s="154">
        <v>31</v>
      </c>
      <c r="D54" s="149" t="str">
        <f t="shared" si="1"/>
        <v>Vlastiti prihodi</v>
      </c>
      <c r="E54" s="154">
        <v>3234</v>
      </c>
      <c r="F54" s="149" t="str">
        <f t="shared" si="0"/>
        <v>Komunalne usluge</v>
      </c>
      <c r="G54" s="201" t="s">
        <v>901</v>
      </c>
      <c r="H54" s="149" t="str">
        <f t="shared" si="2"/>
        <v>REDOVNA DJELATNOST JAVNIH INSTITUTA</v>
      </c>
      <c r="I54" s="198">
        <v>400175</v>
      </c>
      <c r="J54" s="198">
        <v>398681</v>
      </c>
      <c r="K54" s="198">
        <v>395539</v>
      </c>
      <c r="M54" s="144" t="str">
        <f t="shared" si="3"/>
        <v>323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08008</v>
      </c>
      <c r="B55" s="148" t="str">
        <f>IF(C55="","",VLOOKUP('Opći dio'!$C$3,'Opći dio'!$L$6:$U$135,9,FALSE))</f>
        <v>Javni instituti</v>
      </c>
      <c r="C55" s="154">
        <v>31</v>
      </c>
      <c r="D55" s="149" t="str">
        <f t="shared" si="1"/>
        <v>Vlastiti prihodi</v>
      </c>
      <c r="E55" s="154">
        <v>3235</v>
      </c>
      <c r="F55" s="149" t="str">
        <f t="shared" si="0"/>
        <v>Zakupnine i najamnine</v>
      </c>
      <c r="G55" s="201" t="s">
        <v>901</v>
      </c>
      <c r="H55" s="149" t="str">
        <f t="shared" si="2"/>
        <v>REDOVNA DJELATNOST JAVNIH INSTITUTA</v>
      </c>
      <c r="I55" s="198">
        <v>599601</v>
      </c>
      <c r="J55" s="198">
        <v>599601</v>
      </c>
      <c r="K55" s="198">
        <v>599601</v>
      </c>
      <c r="M55" s="144" t="str">
        <f t="shared" si="3"/>
        <v>323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08008</v>
      </c>
      <c r="B56" s="148" t="str">
        <f>IF(C56="","",VLOOKUP('Opći dio'!$C$3,'Opći dio'!$L$6:$U$135,9,FALSE))</f>
        <v>Javni instituti</v>
      </c>
      <c r="C56" s="154">
        <v>31</v>
      </c>
      <c r="D56" s="149" t="str">
        <f t="shared" si="1"/>
        <v>Vlastiti prihodi</v>
      </c>
      <c r="E56" s="154">
        <v>3236</v>
      </c>
      <c r="F56" s="149" t="str">
        <f t="shared" si="0"/>
        <v>Zdravstvene i veterinarske usluge</v>
      </c>
      <c r="G56" s="201" t="s">
        <v>901</v>
      </c>
      <c r="H56" s="149" t="str">
        <f t="shared" si="2"/>
        <v>REDOVNA DJELATNOST JAVNIH INSTITUTA</v>
      </c>
      <c r="I56" s="198">
        <v>20329</v>
      </c>
      <c r="J56" s="198">
        <v>20027</v>
      </c>
      <c r="K56" s="198">
        <v>19393</v>
      </c>
      <c r="M56" s="144" t="str">
        <f t="shared" si="3"/>
        <v>323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08008</v>
      </c>
      <c r="B57" s="148" t="str">
        <f>IF(C57="","",VLOOKUP('Opći dio'!$C$3,'Opći dio'!$L$6:$U$135,9,FALSE))</f>
        <v>Javni instituti</v>
      </c>
      <c r="C57" s="154">
        <v>31</v>
      </c>
      <c r="D57" s="149" t="str">
        <f t="shared" si="1"/>
        <v>Vlastiti prihodi</v>
      </c>
      <c r="E57" s="154">
        <v>3237</v>
      </c>
      <c r="F57" s="149" t="str">
        <f t="shared" si="0"/>
        <v>Intelektualne i osobne usluge</v>
      </c>
      <c r="G57" s="201" t="s">
        <v>901</v>
      </c>
      <c r="H57" s="149" t="str">
        <f t="shared" si="2"/>
        <v>REDOVNA DJELATNOST JAVNIH INSTITUTA</v>
      </c>
      <c r="I57" s="198">
        <v>1128698</v>
      </c>
      <c r="J57" s="198">
        <v>1559333</v>
      </c>
      <c r="K57" s="198">
        <v>1822136</v>
      </c>
      <c r="M57" s="144" t="str">
        <f t="shared" si="3"/>
        <v>323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08008</v>
      </c>
      <c r="B58" s="148" t="str">
        <f>IF(C58="","",VLOOKUP('Opći dio'!$C$3,'Opći dio'!$L$6:$U$135,9,FALSE))</f>
        <v>Javni instituti</v>
      </c>
      <c r="C58" s="154">
        <v>31</v>
      </c>
      <c r="D58" s="149" t="str">
        <f t="shared" si="1"/>
        <v>Vlastiti prihodi</v>
      </c>
      <c r="E58" s="154">
        <v>3238</v>
      </c>
      <c r="F58" s="149" t="str">
        <f t="shared" si="0"/>
        <v>Računalne usluge</v>
      </c>
      <c r="G58" s="201" t="s">
        <v>901</v>
      </c>
      <c r="H58" s="149" t="str">
        <f t="shared" si="2"/>
        <v>REDOVNA DJELATNOST JAVNIH INSTITUTA</v>
      </c>
      <c r="I58" s="198">
        <v>56084</v>
      </c>
      <c r="J58" s="198">
        <v>55350</v>
      </c>
      <c r="K58" s="198">
        <v>53809</v>
      </c>
      <c r="M58" s="144" t="str">
        <f t="shared" si="3"/>
        <v>323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08008</v>
      </c>
      <c r="B59" s="148" t="str">
        <f>IF(C59="","",VLOOKUP('Opći dio'!$C$3,'Opći dio'!$L$6:$U$135,9,FALSE))</f>
        <v>Javni instituti</v>
      </c>
      <c r="C59" s="154">
        <v>31</v>
      </c>
      <c r="D59" s="149" t="str">
        <f t="shared" si="1"/>
        <v>Vlastiti prihodi</v>
      </c>
      <c r="E59" s="154">
        <v>3239</v>
      </c>
      <c r="F59" s="149" t="str">
        <f t="shared" si="0"/>
        <v>Ostale usluge</v>
      </c>
      <c r="G59" s="201" t="s">
        <v>901</v>
      </c>
      <c r="H59" s="149" t="str">
        <f t="shared" si="2"/>
        <v>REDOVNA DJELATNOST JAVNIH INSTITUTA</v>
      </c>
      <c r="I59" s="198">
        <v>2154442</v>
      </c>
      <c r="J59" s="198">
        <v>2043380</v>
      </c>
      <c r="K59" s="198">
        <v>2151888</v>
      </c>
      <c r="M59" s="144" t="str">
        <f t="shared" si="3"/>
        <v>323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08008</v>
      </c>
      <c r="B60" s="148" t="str">
        <f>IF(C60="","",VLOOKUP('Opći dio'!$C$3,'Opći dio'!$L$6:$U$135,9,FALSE))</f>
        <v>Javni instituti</v>
      </c>
      <c r="C60" s="154">
        <v>31</v>
      </c>
      <c r="D60" s="149" t="str">
        <f t="shared" si="1"/>
        <v>Vlastiti prihodi</v>
      </c>
      <c r="E60" s="154">
        <v>3292</v>
      </c>
      <c r="F60" s="149" t="str">
        <f t="shared" si="0"/>
        <v>Premije osiguranja</v>
      </c>
      <c r="G60" s="201" t="s">
        <v>901</v>
      </c>
      <c r="H60" s="149" t="str">
        <f t="shared" si="2"/>
        <v>REDOVNA DJELATNOST JAVNIH INSTITUTA</v>
      </c>
      <c r="I60" s="198">
        <v>302922</v>
      </c>
      <c r="J60" s="198">
        <v>302715</v>
      </c>
      <c r="K60" s="198">
        <v>302277</v>
      </c>
      <c r="M60" s="144" t="str">
        <f t="shared" si="3"/>
        <v>329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08008</v>
      </c>
      <c r="B61" s="148" t="str">
        <f>IF(C61="","",VLOOKUP('Opći dio'!$C$3,'Opći dio'!$L$6:$U$135,9,FALSE))</f>
        <v>Javni instituti</v>
      </c>
      <c r="C61" s="154">
        <v>31</v>
      </c>
      <c r="D61" s="149" t="str">
        <f t="shared" si="1"/>
        <v>Vlastiti prihodi</v>
      </c>
      <c r="E61" s="154">
        <v>3293</v>
      </c>
      <c r="F61" s="149" t="str">
        <f t="shared" si="0"/>
        <v>Reprezentacija</v>
      </c>
      <c r="G61" s="201" t="s">
        <v>901</v>
      </c>
      <c r="H61" s="149" t="str">
        <f t="shared" si="2"/>
        <v>REDOVNA DJELATNOST JAVNIH INSTITUTA</v>
      </c>
      <c r="I61" s="198">
        <v>959814</v>
      </c>
      <c r="J61" s="198">
        <v>959663</v>
      </c>
      <c r="K61" s="198">
        <v>959347</v>
      </c>
      <c r="M61" s="144" t="str">
        <f t="shared" si="3"/>
        <v>329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08008</v>
      </c>
      <c r="B62" s="148" t="str">
        <f>IF(C62="","",VLOOKUP('Opći dio'!$C$3,'Opći dio'!$L$6:$U$135,9,FALSE))</f>
        <v>Javni instituti</v>
      </c>
      <c r="C62" s="154">
        <v>31</v>
      </c>
      <c r="D62" s="149" t="str">
        <f t="shared" si="1"/>
        <v>Vlastiti prihodi</v>
      </c>
      <c r="E62" s="154">
        <v>3294</v>
      </c>
      <c r="F62" s="149" t="str">
        <f t="shared" si="0"/>
        <v>Članarine i norme</v>
      </c>
      <c r="G62" s="201" t="s">
        <v>901</v>
      </c>
      <c r="H62" s="149" t="str">
        <f t="shared" si="2"/>
        <v>REDOVNA DJELATNOST JAVNIH INSTITUTA</v>
      </c>
      <c r="I62" s="198">
        <v>29114</v>
      </c>
      <c r="J62" s="198">
        <v>28989</v>
      </c>
      <c r="K62" s="198">
        <v>28738</v>
      </c>
      <c r="M62" s="144" t="str">
        <f t="shared" si="3"/>
        <v>329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08008</v>
      </c>
      <c r="B63" s="148" t="str">
        <f>IF(C63="","",VLOOKUP('Opći dio'!$C$3,'Opći dio'!$L$6:$U$135,9,FALSE))</f>
        <v>Javni instituti</v>
      </c>
      <c r="C63" s="154">
        <v>31</v>
      </c>
      <c r="D63" s="149" t="str">
        <f t="shared" si="1"/>
        <v>Vlastiti prihodi</v>
      </c>
      <c r="E63" s="154">
        <v>3295</v>
      </c>
      <c r="F63" s="149" t="str">
        <f t="shared" si="0"/>
        <v>Pristojbe i naknade</v>
      </c>
      <c r="G63" s="201" t="s">
        <v>901</v>
      </c>
      <c r="H63" s="149" t="str">
        <f t="shared" si="2"/>
        <v>REDOVNA DJELATNOST JAVNIH INSTITUTA</v>
      </c>
      <c r="I63" s="198">
        <v>239929</v>
      </c>
      <c r="J63" s="198">
        <v>239929</v>
      </c>
      <c r="K63" s="198">
        <v>239929</v>
      </c>
      <c r="M63" s="144" t="str">
        <f t="shared" si="3"/>
        <v>329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08008</v>
      </c>
      <c r="B64" s="148" t="str">
        <f>IF(C64="","",VLOOKUP('Opći dio'!$C$3,'Opći dio'!$L$6:$U$135,9,FALSE))</f>
        <v>Javni instituti</v>
      </c>
      <c r="C64" s="154">
        <v>31</v>
      </c>
      <c r="D64" s="149" t="str">
        <f t="shared" si="1"/>
        <v>Vlastiti prihodi</v>
      </c>
      <c r="E64" s="154">
        <v>3431</v>
      </c>
      <c r="F64" s="149" t="str">
        <f t="shared" si="0"/>
        <v>Bankarske usluge i usluge platnog prometa</v>
      </c>
      <c r="G64" s="201" t="s">
        <v>901</v>
      </c>
      <c r="H64" s="149" t="str">
        <f t="shared" si="2"/>
        <v>REDOVNA DJELATNOST JAVNIH INSTITUTA</v>
      </c>
      <c r="I64" s="198">
        <v>104332</v>
      </c>
      <c r="J64" s="198">
        <v>104332</v>
      </c>
      <c r="K64" s="198">
        <v>104332</v>
      </c>
      <c r="M64" s="144" t="str">
        <f t="shared" si="3"/>
        <v>343</v>
      </c>
      <c r="N64" s="144" t="str">
        <f t="shared" si="4"/>
        <v>34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08008</v>
      </c>
      <c r="B65" s="148" t="str">
        <f>IF(C65="","",VLOOKUP('Opći dio'!$C$3,'Opći dio'!$L$6:$U$135,9,FALSE))</f>
        <v>Javni instituti</v>
      </c>
      <c r="C65" s="154">
        <v>31</v>
      </c>
      <c r="D65" s="149" t="str">
        <f t="shared" si="1"/>
        <v>Vlastiti prihodi</v>
      </c>
      <c r="E65" s="154">
        <v>3434</v>
      </c>
      <c r="F65" s="149" t="str">
        <f t="shared" si="0"/>
        <v>Ostali nespomenuti financijski rashodi</v>
      </c>
      <c r="G65" s="201" t="s">
        <v>901</v>
      </c>
      <c r="H65" s="149" t="str">
        <f t="shared" si="2"/>
        <v>REDOVNA DJELATNOST JAVNIH INSTITUTA</v>
      </c>
      <c r="I65" s="198">
        <v>29755</v>
      </c>
      <c r="J65" s="198">
        <v>29752</v>
      </c>
      <c r="K65" s="198">
        <v>28823</v>
      </c>
      <c r="M65" s="144" t="str">
        <f t="shared" si="3"/>
        <v>343</v>
      </c>
      <c r="N65" s="144" t="str">
        <f t="shared" si="4"/>
        <v>34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08008</v>
      </c>
      <c r="B66" s="148" t="str">
        <f>IF(C66="","",VLOOKUP('Opći dio'!$C$3,'Opći dio'!$L$6:$U$135,9,FALSE))</f>
        <v>Javni instituti</v>
      </c>
      <c r="C66" s="154">
        <v>31</v>
      </c>
      <c r="D66" s="149" t="str">
        <f t="shared" si="1"/>
        <v>Vlastiti prihodi</v>
      </c>
      <c r="E66" s="154">
        <v>3433</v>
      </c>
      <c r="F66" s="149" t="str">
        <f t="shared" si="0"/>
        <v>Zatezne kamate</v>
      </c>
      <c r="G66" s="201" t="s">
        <v>901</v>
      </c>
      <c r="H66" s="149" t="str">
        <f t="shared" si="2"/>
        <v>REDOVNA DJELATNOST JAVNIH INSTITUTA</v>
      </c>
      <c r="I66" s="198">
        <v>43809</v>
      </c>
      <c r="J66" s="198">
        <v>43809</v>
      </c>
      <c r="K66" s="198">
        <v>43809</v>
      </c>
      <c r="M66" s="144" t="str">
        <f t="shared" si="3"/>
        <v>343</v>
      </c>
      <c r="N66" s="144" t="str">
        <f t="shared" si="4"/>
        <v>34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08008</v>
      </c>
      <c r="B67" s="148" t="str">
        <f>IF(C67="","",VLOOKUP('Opći dio'!$C$3,'Opći dio'!$L$6:$U$135,9,FALSE))</f>
        <v>Javni instituti</v>
      </c>
      <c r="C67" s="154">
        <v>31</v>
      </c>
      <c r="D67" s="149" t="str">
        <f t="shared" si="1"/>
        <v>Vlastiti prihodi</v>
      </c>
      <c r="E67" s="154">
        <v>3432</v>
      </c>
      <c r="F67" s="149" t="str">
        <f t="shared" ref="F67:F130" si="11">IFERROR(VLOOKUP(E67,$R$5:$T$129,2,FALSE),"")</f>
        <v>Negativne tečajne razlike i razlike zbog primjene valutne kl</v>
      </c>
      <c r="G67" s="201" t="s">
        <v>901</v>
      </c>
      <c r="H67" s="149" t="str">
        <f t="shared" si="2"/>
        <v>REDOVNA DJELATNOST JAVNIH INSTITUTA</v>
      </c>
      <c r="I67" s="198">
        <v>148609</v>
      </c>
      <c r="J67" s="198">
        <v>148609</v>
      </c>
      <c r="K67" s="198">
        <v>148609</v>
      </c>
      <c r="M67" s="144" t="str">
        <f t="shared" si="3"/>
        <v>343</v>
      </c>
      <c r="N67" s="144" t="str">
        <f t="shared" si="4"/>
        <v>34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08008</v>
      </c>
      <c r="B68" s="148" t="str">
        <f>IF(C68="","",VLOOKUP('Opći dio'!$C$3,'Opći dio'!$L$6:$U$135,9,FALSE))</f>
        <v>Javni instituti</v>
      </c>
      <c r="C68" s="154">
        <v>31</v>
      </c>
      <c r="D68" s="149" t="str">
        <f t="shared" ref="D68:D131" si="12">IFERROR(VLOOKUP(C68,$O$6:$P$16,2,FALSE),"")</f>
        <v>Vlastiti prihodi</v>
      </c>
      <c r="E68" s="154">
        <v>3811</v>
      </c>
      <c r="F68" s="149" t="str">
        <f t="shared" si="11"/>
        <v>Tekuće donacije u novcu</v>
      </c>
      <c r="G68" s="201" t="s">
        <v>901</v>
      </c>
      <c r="H68" s="149" t="str">
        <f t="shared" ref="H68:H131" si="13">IFERROR(VLOOKUP(G68,$X$6:$Y$50,2,FALSE),"")</f>
        <v>REDOVNA DJELATNOST JAVNIH INSTITUTA</v>
      </c>
      <c r="I68" s="198">
        <v>9098</v>
      </c>
      <c r="J68" s="198">
        <v>9098</v>
      </c>
      <c r="K68" s="198">
        <v>9098</v>
      </c>
      <c r="M68" s="144" t="str">
        <f t="shared" ref="M68:M131" si="14">LEFT(E68,3)</f>
        <v>381</v>
      </c>
      <c r="N68" s="144" t="str">
        <f t="shared" ref="N68:N131" si="15">LEFT(E68,2)</f>
        <v>38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08008</v>
      </c>
      <c r="B69" s="148" t="str">
        <f>IF(C69="","",VLOOKUP('Opći dio'!$C$3,'Opći dio'!$L$6:$U$135,9,FALSE))</f>
        <v>Javni instituti</v>
      </c>
      <c r="C69" s="154">
        <v>31</v>
      </c>
      <c r="D69" s="149" t="str">
        <f t="shared" si="12"/>
        <v>Vlastiti prihodi</v>
      </c>
      <c r="E69" s="154">
        <v>3831</v>
      </c>
      <c r="F69" s="149" t="str">
        <f t="shared" si="11"/>
        <v>Naknade šteta pravnim i fizičkim osobama</v>
      </c>
      <c r="G69" s="201" t="s">
        <v>901</v>
      </c>
      <c r="H69" s="149" t="str">
        <f t="shared" si="13"/>
        <v>REDOVNA DJELATNOST JAVNIH INSTITUTA</v>
      </c>
      <c r="I69" s="198">
        <v>57329</v>
      </c>
      <c r="J69" s="198">
        <v>57329</v>
      </c>
      <c r="K69" s="198">
        <v>57329</v>
      </c>
      <c r="M69" s="144" t="str">
        <f t="shared" si="14"/>
        <v>383</v>
      </c>
      <c r="N69" s="144" t="str">
        <f t="shared" si="15"/>
        <v>38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08008</v>
      </c>
      <c r="B70" s="148" t="str">
        <f>IF(C70="","",VLOOKUP('Opći dio'!$C$3,'Opći dio'!$L$6:$U$135,9,FALSE))</f>
        <v>Javni instituti</v>
      </c>
      <c r="C70" s="154">
        <v>31</v>
      </c>
      <c r="D70" s="149" t="str">
        <f t="shared" si="12"/>
        <v>Vlastiti prihodi</v>
      </c>
      <c r="E70" s="154">
        <v>3111</v>
      </c>
      <c r="F70" s="149" t="str">
        <f t="shared" si="11"/>
        <v>Plaće za redovan rad</v>
      </c>
      <c r="G70" s="201" t="s">
        <v>901</v>
      </c>
      <c r="H70" s="149" t="str">
        <f t="shared" si="13"/>
        <v>REDOVNA DJELATNOST JAVNIH INSTITUTA</v>
      </c>
      <c r="I70" s="198">
        <v>14717181</v>
      </c>
      <c r="J70" s="198">
        <v>14665625</v>
      </c>
      <c r="K70" s="198">
        <v>14644728</v>
      </c>
      <c r="M70" s="144" t="str">
        <f t="shared" si="14"/>
        <v>311</v>
      </c>
      <c r="N70" s="144" t="str">
        <f t="shared" si="15"/>
        <v>31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08008</v>
      </c>
      <c r="B71" s="148" t="str">
        <f>IF(C71="","",VLOOKUP('Opći dio'!$C$3,'Opći dio'!$L$6:$U$135,9,FALSE))</f>
        <v>Javni instituti</v>
      </c>
      <c r="C71" s="154">
        <v>31</v>
      </c>
      <c r="D71" s="149" t="str">
        <f t="shared" si="12"/>
        <v>Vlastiti prihodi</v>
      </c>
      <c r="E71" s="154">
        <v>3112</v>
      </c>
      <c r="F71" s="149" t="str">
        <f t="shared" si="11"/>
        <v>Plaće u naravi</v>
      </c>
      <c r="G71" s="201" t="s">
        <v>901</v>
      </c>
      <c r="H71" s="149" t="str">
        <f t="shared" si="13"/>
        <v>REDOVNA DJELATNOST JAVNIH INSTITUTA</v>
      </c>
      <c r="I71" s="198">
        <v>135551</v>
      </c>
      <c r="J71" s="198">
        <v>135551</v>
      </c>
      <c r="K71" s="198">
        <v>135551</v>
      </c>
      <c r="M71" s="144" t="str">
        <f t="shared" si="14"/>
        <v>311</v>
      </c>
      <c r="N71" s="144" t="str">
        <f t="shared" si="15"/>
        <v>31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08008</v>
      </c>
      <c r="B72" s="148" t="str">
        <f>IF(C72="","",VLOOKUP('Opći dio'!$C$3,'Opći dio'!$L$6:$U$135,9,FALSE))</f>
        <v>Javni instituti</v>
      </c>
      <c r="C72" s="154">
        <v>31</v>
      </c>
      <c r="D72" s="149" t="str">
        <f t="shared" si="12"/>
        <v>Vlastiti prihodi</v>
      </c>
      <c r="E72" s="154">
        <v>3132</v>
      </c>
      <c r="F72" s="149" t="str">
        <f t="shared" si="11"/>
        <v>Doprinosi za obvezno zdravstveno osiguranje</v>
      </c>
      <c r="G72" s="201" t="s">
        <v>901</v>
      </c>
      <c r="H72" s="149" t="str">
        <f t="shared" si="13"/>
        <v>REDOVNA DJELATNOST JAVNIH INSTITUTA</v>
      </c>
      <c r="I72" s="198">
        <v>2465318</v>
      </c>
      <c r="J72" s="198">
        <v>2456929</v>
      </c>
      <c r="K72" s="198">
        <v>2453525</v>
      </c>
      <c r="M72" s="144" t="str">
        <f t="shared" si="14"/>
        <v>313</v>
      </c>
      <c r="N72" s="144" t="str">
        <f t="shared" si="15"/>
        <v>31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08008</v>
      </c>
      <c r="B73" s="148" t="str">
        <f>IF(C73="","",VLOOKUP('Opći dio'!$C$3,'Opći dio'!$L$6:$U$135,9,FALSE))</f>
        <v>Javni instituti</v>
      </c>
      <c r="C73" s="154">
        <v>31</v>
      </c>
      <c r="D73" s="149" t="str">
        <f t="shared" si="12"/>
        <v>Vlastiti prihodi</v>
      </c>
      <c r="E73" s="154">
        <v>3121</v>
      </c>
      <c r="F73" s="149" t="str">
        <f t="shared" si="11"/>
        <v>Ostali rashodi za zaposlene</v>
      </c>
      <c r="G73" s="201" t="s">
        <v>901</v>
      </c>
      <c r="H73" s="149" t="str">
        <f t="shared" si="13"/>
        <v>REDOVNA DJELATNOST JAVNIH INSTITUTA</v>
      </c>
      <c r="I73" s="198">
        <v>1359711</v>
      </c>
      <c r="J73" s="198">
        <v>1355964</v>
      </c>
      <c r="K73" s="198">
        <v>1355962</v>
      </c>
      <c r="M73" s="144" t="str">
        <f t="shared" si="14"/>
        <v>312</v>
      </c>
      <c r="N73" s="144" t="str">
        <f t="shared" si="15"/>
        <v>31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08008</v>
      </c>
      <c r="B74" s="148" t="str">
        <f>IF(C74="","",VLOOKUP('Opći dio'!$C$3,'Opći dio'!$L$6:$U$135,9,FALSE))</f>
        <v>Javni instituti</v>
      </c>
      <c r="C74" s="154">
        <v>31</v>
      </c>
      <c r="D74" s="149" t="str">
        <f t="shared" si="12"/>
        <v>Vlastiti prihodi</v>
      </c>
      <c r="E74" s="154">
        <v>3299</v>
      </c>
      <c r="F74" s="149" t="str">
        <f t="shared" si="11"/>
        <v>Ostali nespomenuti rashodi poslovanja</v>
      </c>
      <c r="G74" s="201" t="s">
        <v>901</v>
      </c>
      <c r="H74" s="149" t="str">
        <f t="shared" si="13"/>
        <v>REDOVNA DJELATNOST JAVNIH INSTITUTA</v>
      </c>
      <c r="I74" s="198">
        <v>2359885</v>
      </c>
      <c r="J74" s="198">
        <v>2359885</v>
      </c>
      <c r="K74" s="198">
        <v>1756044</v>
      </c>
      <c r="M74" s="144" t="str">
        <f t="shared" si="14"/>
        <v>329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08008</v>
      </c>
      <c r="B75" s="148" t="str">
        <f>IF(C75="","",VLOOKUP('Opći dio'!$C$3,'Opći dio'!$L$6:$U$135,9,FALSE))</f>
        <v>Javni instituti</v>
      </c>
      <c r="C75" s="154">
        <v>31</v>
      </c>
      <c r="D75" s="149" t="str">
        <f t="shared" si="12"/>
        <v>Vlastiti prihodi</v>
      </c>
      <c r="E75" s="154">
        <v>3291</v>
      </c>
      <c r="F75" s="149" t="str">
        <f t="shared" si="11"/>
        <v>Naknade za rad predstavničkih i izvršnih tijela, povjerensta</v>
      </c>
      <c r="G75" s="201" t="s">
        <v>901</v>
      </c>
      <c r="H75" s="149" t="str">
        <f t="shared" si="13"/>
        <v>REDOVNA DJELATNOST JAVNIH INSTITUTA</v>
      </c>
      <c r="I75" s="198">
        <v>187688</v>
      </c>
      <c r="J75" s="198">
        <v>187386</v>
      </c>
      <c r="K75" s="198">
        <v>186751</v>
      </c>
      <c r="M75" s="144" t="str">
        <f t="shared" si="14"/>
        <v>329</v>
      </c>
      <c r="N75" s="144" t="str">
        <f t="shared" si="15"/>
        <v>32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08008</v>
      </c>
      <c r="B76" s="148" t="str">
        <f>IF(C76="","",VLOOKUP('Opći dio'!$C$3,'Opći dio'!$L$6:$U$135,9,FALSE))</f>
        <v>Javni instituti</v>
      </c>
      <c r="C76" s="154">
        <v>52</v>
      </c>
      <c r="D76" s="149" t="str">
        <f t="shared" si="12"/>
        <v>Ostale pomoći</v>
      </c>
      <c r="E76" s="154">
        <v>3299</v>
      </c>
      <c r="F76" s="149" t="str">
        <f t="shared" si="11"/>
        <v>Ostali nespomenuti rashodi poslovanja</v>
      </c>
      <c r="G76" s="201" t="s">
        <v>901</v>
      </c>
      <c r="H76" s="149" t="str">
        <f t="shared" si="13"/>
        <v>REDOVNA DJELATNOST JAVNIH INSTITUTA</v>
      </c>
      <c r="I76" s="198">
        <v>1602520</v>
      </c>
      <c r="J76" s="198">
        <v>1602520</v>
      </c>
      <c r="K76" s="198">
        <v>1602520</v>
      </c>
      <c r="M76" s="144" t="str">
        <f t="shared" si="14"/>
        <v>329</v>
      </c>
      <c r="N76" s="144" t="str">
        <f t="shared" si="15"/>
        <v>32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08008</v>
      </c>
      <c r="B77" s="148" t="str">
        <f>IF(C77="","",VLOOKUP('Opći dio'!$C$3,'Opći dio'!$L$6:$U$135,9,FALSE))</f>
        <v>Javni instituti</v>
      </c>
      <c r="C77" s="154">
        <v>43</v>
      </c>
      <c r="D77" s="149" t="str">
        <f t="shared" si="12"/>
        <v>Ostali prihodi za posebne namjene</v>
      </c>
      <c r="E77" s="154">
        <v>3239</v>
      </c>
      <c r="F77" s="149" t="str">
        <f t="shared" si="11"/>
        <v>Ostale usluge</v>
      </c>
      <c r="G77" s="201" t="s">
        <v>911</v>
      </c>
      <c r="H77" s="149" t="str">
        <f t="shared" si="13"/>
        <v>PROGRAMSKO FINANCIRANJE JAVNIH ZNANSTVENIH INSTITUTA</v>
      </c>
      <c r="I77" s="198">
        <v>150100</v>
      </c>
      <c r="J77" s="198">
        <v>0</v>
      </c>
      <c r="K77" s="198">
        <v>0</v>
      </c>
      <c r="M77" s="144" t="str">
        <f t="shared" si="14"/>
        <v>323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08008</v>
      </c>
      <c r="B78" s="148" t="str">
        <f>IF(C78="","",VLOOKUP('Opći dio'!$C$3,'Opći dio'!$L$6:$U$135,9,FALSE))</f>
        <v>Javni instituti</v>
      </c>
      <c r="C78" s="154">
        <v>43</v>
      </c>
      <c r="D78" s="149" t="str">
        <f t="shared" si="12"/>
        <v>Ostali prihodi za posebne namjene</v>
      </c>
      <c r="E78" s="154">
        <v>3222</v>
      </c>
      <c r="F78" s="149" t="str">
        <f t="shared" si="11"/>
        <v>Materijal i sirovine</v>
      </c>
      <c r="G78" s="201" t="s">
        <v>911</v>
      </c>
      <c r="H78" s="149" t="str">
        <f t="shared" si="13"/>
        <v>PROGRAMSKO FINANCIRANJE JAVNIH ZNANSTVENIH INSTITUTA</v>
      </c>
      <c r="I78" s="198">
        <v>45100</v>
      </c>
      <c r="J78" s="198">
        <v>0</v>
      </c>
      <c r="K78" s="198">
        <v>0</v>
      </c>
      <c r="M78" s="144" t="str">
        <f t="shared" si="14"/>
        <v>322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2"/>
        <v/>
      </c>
      <c r="E79" s="154"/>
      <c r="F79" s="149" t="str">
        <f t="shared" si="11"/>
        <v/>
      </c>
      <c r="G79" s="201"/>
      <c r="H79" s="149" t="str">
        <f t="shared" si="13"/>
        <v/>
      </c>
      <c r="I79" s="198"/>
      <c r="J79" s="198"/>
      <c r="K79" s="198"/>
      <c r="M79" s="144" t="str">
        <f t="shared" si="14"/>
        <v/>
      </c>
      <c r="N79" s="144" t="str">
        <f t="shared" si="15"/>
        <v/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2"/>
        <v/>
      </c>
      <c r="E80" s="154"/>
      <c r="F80" s="149" t="str">
        <f t="shared" si="11"/>
        <v/>
      </c>
      <c r="G80" s="201"/>
      <c r="H80" s="149" t="str">
        <f t="shared" si="13"/>
        <v/>
      </c>
      <c r="I80" s="198"/>
      <c r="J80" s="198"/>
      <c r="K80" s="198"/>
      <c r="M80" s="144" t="str">
        <f t="shared" si="14"/>
        <v/>
      </c>
      <c r="N80" s="144" t="str">
        <f t="shared" si="15"/>
        <v/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201"/>
      <c r="H81" s="149" t="str">
        <f t="shared" si="13"/>
        <v/>
      </c>
      <c r="I81" s="198"/>
      <c r="J81" s="198"/>
      <c r="K81" s="198"/>
      <c r="M81" s="144" t="str">
        <f t="shared" si="14"/>
        <v/>
      </c>
      <c r="N81" s="144" t="str">
        <f t="shared" si="15"/>
        <v/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201"/>
      <c r="H82" s="149" t="str">
        <f t="shared" si="13"/>
        <v/>
      </c>
      <c r="I82" s="198"/>
      <c r="J82" s="198"/>
      <c r="K82" s="198"/>
      <c r="M82" s="144" t="str">
        <f t="shared" si="14"/>
        <v/>
      </c>
      <c r="N82" s="144" t="str">
        <f t="shared" si="15"/>
        <v/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201"/>
      <c r="H83" s="149" t="str">
        <f t="shared" si="13"/>
        <v/>
      </c>
      <c r="I83" s="198"/>
      <c r="J83" s="198"/>
      <c r="K83" s="198"/>
      <c r="M83" s="144" t="str">
        <f t="shared" si="14"/>
        <v/>
      </c>
      <c r="N83" s="144" t="str">
        <f t="shared" si="15"/>
        <v/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51" activePane="bottomLeft" state="frozen"/>
      <selection pane="bottomLeft" activeCell="D5" sqref="D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9" t="s">
        <v>290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3" t="s">
        <v>292</v>
      </c>
      <c r="B3" s="264"/>
      <c r="C3" s="265" t="s">
        <v>51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7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0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75874064</v>
      </c>
      <c r="D6" s="15">
        <f t="shared" ref="D6:P6" si="1">+D26+D33</f>
        <v>9655191</v>
      </c>
      <c r="E6" s="15">
        <f t="shared" si="1"/>
        <v>0</v>
      </c>
      <c r="F6" s="15">
        <f t="shared" si="1"/>
        <v>63016353</v>
      </c>
      <c r="G6" s="15">
        <f t="shared" si="1"/>
        <v>195200</v>
      </c>
      <c r="H6" s="15">
        <f t="shared" si="1"/>
        <v>0</v>
      </c>
      <c r="I6" s="15">
        <f t="shared" si="1"/>
        <v>3007320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-143821</v>
      </c>
      <c r="D7" s="115">
        <v>0</v>
      </c>
      <c r="E7" s="115"/>
      <c r="F7" s="115">
        <v>-143821</v>
      </c>
      <c r="G7" s="115"/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75730243</v>
      </c>
      <c r="D8" s="15">
        <f>+D5+D6+D7</f>
        <v>9655191</v>
      </c>
      <c r="E8" s="15">
        <f t="shared" ref="E8:P8" si="2">+E5+E6+E7</f>
        <v>0</v>
      </c>
      <c r="F8" s="15">
        <f t="shared" si="2"/>
        <v>62872532</v>
      </c>
      <c r="G8" s="15">
        <f t="shared" si="2"/>
        <v>195200</v>
      </c>
      <c r="H8" s="15">
        <f t="shared" si="2"/>
        <v>0</v>
      </c>
      <c r="I8" s="15">
        <f t="shared" si="2"/>
        <v>3007320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75730243</v>
      </c>
      <c r="D9" s="138">
        <f>+'PLAN RASHODA I IZDATAKA'!D3</f>
        <v>9655191</v>
      </c>
      <c r="E9" s="138">
        <f>+'PLAN RASHODA I IZDATAKA'!E3</f>
        <v>0</v>
      </c>
      <c r="F9" s="138">
        <f>+'PLAN RASHODA I IZDATAKA'!F3</f>
        <v>62872532</v>
      </c>
      <c r="G9" s="138">
        <f>+'PLAN RASHODA I IZDATAKA'!G3</f>
        <v>195200</v>
      </c>
      <c r="H9" s="138">
        <f>+'PLAN RASHODA I IZDATAKA'!H3</f>
        <v>0</v>
      </c>
      <c r="I9" s="138">
        <f>+'PLAN RASHODA I IZDATAKA'!I3</f>
        <v>3007320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3007320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3007320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195200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195200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63016353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63016353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9655191</v>
      </c>
      <c r="D23" s="204">
        <f>SUMIFS('Plan prihoda za unos u SAP'!$G$3:$G$501,'Plan prihoda za unos u SAP'!$C$3:$C$501,"=11",'Plan prihoda za unos u SAP'!$K$3:$K$501,"=671")</f>
        <v>9655191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75874064</v>
      </c>
      <c r="D26" s="4">
        <f t="shared" ref="D26:P26" si="6">SUM(D11:D25)</f>
        <v>9655191</v>
      </c>
      <c r="E26" s="4">
        <f t="shared" si="6"/>
        <v>0</v>
      </c>
      <c r="F26" s="4">
        <f t="shared" si="6"/>
        <v>63016353</v>
      </c>
      <c r="G26" s="4">
        <f t="shared" si="6"/>
        <v>195200</v>
      </c>
      <c r="H26" s="4">
        <f t="shared" si="6"/>
        <v>0</v>
      </c>
      <c r="I26" s="4">
        <f t="shared" si="6"/>
        <v>3007320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8" t="s">
        <v>339</v>
      </c>
      <c r="B37" s="268"/>
      <c r="C37" s="72">
        <f>SUM(D37:P37)</f>
        <v>75874064</v>
      </c>
      <c r="D37" s="72">
        <f t="shared" ref="D37:P37" si="9">+D36+D33+D26</f>
        <v>9655191</v>
      </c>
      <c r="E37" s="72">
        <f t="shared" si="9"/>
        <v>0</v>
      </c>
      <c r="F37" s="72">
        <f t="shared" si="9"/>
        <v>63016353</v>
      </c>
      <c r="G37" s="72">
        <f t="shared" si="9"/>
        <v>195200</v>
      </c>
      <c r="H37" s="72">
        <f t="shared" si="9"/>
        <v>0</v>
      </c>
      <c r="I37" s="72">
        <f t="shared" si="9"/>
        <v>3007320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3" t="s">
        <v>292</v>
      </c>
      <c r="B39" s="264"/>
      <c r="C39" s="265" t="s">
        <v>54</v>
      </c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7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143821</v>
      </c>
      <c r="D41" s="203">
        <f t="shared" ref="D41:P41" si="11">-D7</f>
        <v>0</v>
      </c>
      <c r="E41" s="203">
        <f t="shared" si="11"/>
        <v>0</v>
      </c>
      <c r="F41" s="203">
        <f t="shared" si="11"/>
        <v>143821</v>
      </c>
      <c r="G41" s="203">
        <f t="shared" si="11"/>
        <v>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75874064</v>
      </c>
      <c r="D42" s="15">
        <f t="shared" ref="D42:P42" si="12">+D62+D69</f>
        <v>9747525</v>
      </c>
      <c r="E42" s="15">
        <f t="shared" si="12"/>
        <v>0</v>
      </c>
      <c r="F42" s="15">
        <f t="shared" si="12"/>
        <v>62924019</v>
      </c>
      <c r="G42" s="15">
        <f t="shared" si="12"/>
        <v>0</v>
      </c>
      <c r="H42" s="15">
        <f t="shared" si="12"/>
        <v>0</v>
      </c>
      <c r="I42" s="15">
        <f t="shared" si="12"/>
        <v>3202520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-55639</v>
      </c>
      <c r="D43" s="115"/>
      <c r="E43" s="115"/>
      <c r="F43" s="115">
        <v>-55639</v>
      </c>
      <c r="G43" s="115"/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75962246</v>
      </c>
      <c r="D44" s="15">
        <f>+D41+D42+D43</f>
        <v>9747525</v>
      </c>
      <c r="E44" s="15">
        <f t="shared" ref="E44:P44" si="13">+E41+E42+E43</f>
        <v>0</v>
      </c>
      <c r="F44" s="15">
        <f t="shared" si="13"/>
        <v>63012201</v>
      </c>
      <c r="G44" s="15">
        <f t="shared" si="13"/>
        <v>0</v>
      </c>
      <c r="H44" s="15">
        <f t="shared" si="13"/>
        <v>0</v>
      </c>
      <c r="I44" s="15">
        <f t="shared" si="13"/>
        <v>3202520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75962246</v>
      </c>
      <c r="D45" s="138">
        <f>+'PLAN RASHODA I IZDATAKA'!D71</f>
        <v>9747525</v>
      </c>
      <c r="E45" s="138">
        <f>+'PLAN RASHODA I IZDATAKA'!E71</f>
        <v>0</v>
      </c>
      <c r="F45" s="138">
        <f>+'PLAN RASHODA I IZDATAKA'!F71</f>
        <v>63012201</v>
      </c>
      <c r="G45" s="138">
        <f>+'PLAN RASHODA I IZDATAKA'!G71</f>
        <v>0</v>
      </c>
      <c r="H45" s="138">
        <f>+'PLAN RASHODA I IZDATAKA'!H71</f>
        <v>0</v>
      </c>
      <c r="I45" s="138">
        <f>+'PLAN RASHODA I IZDATAKA'!I71</f>
        <v>3202520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3202520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3202520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62924019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62924019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9747525</v>
      </c>
      <c r="D59" s="204">
        <f>SUMIFS('Plan prihoda za unos u SAP'!$H$3:$H$501,'Plan prihoda za unos u SAP'!$C$3:$C$501,"=11",'Plan prihoda za unos u SAP'!$K$3:$K$501,"=671")</f>
        <v>9747525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75874064</v>
      </c>
      <c r="D62" s="4">
        <f t="shared" ref="D62:P62" si="17">SUM(D47:D61)</f>
        <v>9747525</v>
      </c>
      <c r="E62" s="4">
        <f t="shared" si="17"/>
        <v>0</v>
      </c>
      <c r="F62" s="4">
        <f t="shared" si="17"/>
        <v>62924019</v>
      </c>
      <c r="G62" s="4">
        <f t="shared" si="17"/>
        <v>0</v>
      </c>
      <c r="H62" s="4">
        <f t="shared" si="17"/>
        <v>0</v>
      </c>
      <c r="I62" s="4">
        <f t="shared" si="17"/>
        <v>3202520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8" t="s">
        <v>339</v>
      </c>
      <c r="B73" s="268"/>
      <c r="C73" s="72">
        <f>SUM(D73:P73)</f>
        <v>75874064</v>
      </c>
      <c r="D73" s="72">
        <f t="shared" ref="D73:P73" si="20">+D72+D69+D62</f>
        <v>9747525</v>
      </c>
      <c r="E73" s="72">
        <f t="shared" si="20"/>
        <v>0</v>
      </c>
      <c r="F73" s="72">
        <f t="shared" si="20"/>
        <v>62924019</v>
      </c>
      <c r="G73" s="72">
        <f t="shared" si="20"/>
        <v>0</v>
      </c>
      <c r="H73" s="72">
        <f t="shared" si="20"/>
        <v>0</v>
      </c>
      <c r="I73" s="72">
        <f t="shared" si="20"/>
        <v>3202520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3" t="s">
        <v>292</v>
      </c>
      <c r="B75" s="264"/>
      <c r="C75" s="265" t="s">
        <v>840</v>
      </c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7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55639</v>
      </c>
      <c r="D77" s="203">
        <f t="shared" ref="D77:P77" si="22">-D43</f>
        <v>0</v>
      </c>
      <c r="E77" s="203">
        <f t="shared" si="22"/>
        <v>0</v>
      </c>
      <c r="F77" s="203">
        <f t="shared" si="22"/>
        <v>55639</v>
      </c>
      <c r="G77" s="203">
        <f t="shared" si="22"/>
        <v>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75874064</v>
      </c>
      <c r="D78" s="15">
        <f t="shared" ref="D78:P78" si="23">+D98+D105</f>
        <v>9815215</v>
      </c>
      <c r="E78" s="15">
        <f t="shared" si="23"/>
        <v>0</v>
      </c>
      <c r="F78" s="15">
        <f t="shared" si="23"/>
        <v>62856329</v>
      </c>
      <c r="G78" s="15">
        <f t="shared" si="23"/>
        <v>0</v>
      </c>
      <c r="H78" s="15">
        <f t="shared" si="23"/>
        <v>0</v>
      </c>
      <c r="I78" s="15">
        <f t="shared" si="23"/>
        <v>3202520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-58000</v>
      </c>
      <c r="D79" s="115"/>
      <c r="E79" s="115"/>
      <c r="F79" s="115">
        <v>-58000</v>
      </c>
      <c r="G79" s="115"/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75871703</v>
      </c>
      <c r="D80" s="15">
        <f>+D77+D78+D79</f>
        <v>9815215</v>
      </c>
      <c r="E80" s="15">
        <f t="shared" ref="E80:P80" si="24">+E77+E78+E79</f>
        <v>0</v>
      </c>
      <c r="F80" s="15">
        <f t="shared" si="24"/>
        <v>62853968</v>
      </c>
      <c r="G80" s="15">
        <f t="shared" si="24"/>
        <v>0</v>
      </c>
      <c r="H80" s="15">
        <f t="shared" si="24"/>
        <v>0</v>
      </c>
      <c r="I80" s="15">
        <f t="shared" si="24"/>
        <v>3202520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75871703</v>
      </c>
      <c r="D81" s="138">
        <f>+'PLAN RASHODA I IZDATAKA'!D91</f>
        <v>9815215</v>
      </c>
      <c r="E81" s="138">
        <f>+'PLAN RASHODA I IZDATAKA'!E91</f>
        <v>0</v>
      </c>
      <c r="F81" s="138">
        <f>+'PLAN RASHODA I IZDATAKA'!F91</f>
        <v>62853968</v>
      </c>
      <c r="G81" s="138">
        <f>+'PLAN RASHODA I IZDATAKA'!G91</f>
        <v>0</v>
      </c>
      <c r="H81" s="138">
        <f>+'PLAN RASHODA I IZDATAKA'!H91</f>
        <v>0</v>
      </c>
      <c r="I81" s="138">
        <f>+'PLAN RASHODA I IZDATAKA'!I91</f>
        <v>3202520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3202520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3202520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62856329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62856329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9815215</v>
      </c>
      <c r="D95" s="204">
        <f>SUMIFS('Plan prihoda za unos u SAP'!$I$3:$I$501,'Plan prihoda za unos u SAP'!$C$3:$C$501,"=11",'Plan prihoda za unos u SAP'!$K$3:$K$501,"=671")</f>
        <v>9815215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75874064</v>
      </c>
      <c r="D98" s="4">
        <f t="shared" ref="D98:P98" si="28">SUM(D83:D97)</f>
        <v>9815215</v>
      </c>
      <c r="E98" s="4">
        <f t="shared" si="28"/>
        <v>0</v>
      </c>
      <c r="F98" s="4">
        <f t="shared" si="28"/>
        <v>62856329</v>
      </c>
      <c r="G98" s="4">
        <f t="shared" si="28"/>
        <v>0</v>
      </c>
      <c r="H98" s="4">
        <f t="shared" si="28"/>
        <v>0</v>
      </c>
      <c r="I98" s="4">
        <f t="shared" si="28"/>
        <v>3202520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8" t="s">
        <v>339</v>
      </c>
      <c r="B109" s="268"/>
      <c r="C109" s="72">
        <f>SUM(D109:P109)</f>
        <v>75874064</v>
      </c>
      <c r="D109" s="72">
        <f t="shared" ref="D109:P109" si="31">+D108+D105+D98</f>
        <v>9815215</v>
      </c>
      <c r="E109" s="72">
        <f t="shared" si="31"/>
        <v>0</v>
      </c>
      <c r="F109" s="72">
        <f t="shared" si="31"/>
        <v>62856329</v>
      </c>
      <c r="G109" s="72">
        <f t="shared" si="31"/>
        <v>0</v>
      </c>
      <c r="H109" s="72">
        <f t="shared" si="31"/>
        <v>0</v>
      </c>
      <c r="I109" s="72">
        <f t="shared" si="31"/>
        <v>3202520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6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75730243</v>
      </c>
      <c r="D3" s="123">
        <f t="shared" ref="D3:P3" si="0">D4+D38+D58</f>
        <v>9655191</v>
      </c>
      <c r="E3" s="123">
        <f t="shared" si="0"/>
        <v>0</v>
      </c>
      <c r="F3" s="123">
        <f t="shared" si="0"/>
        <v>62872532</v>
      </c>
      <c r="G3" s="123">
        <f t="shared" si="0"/>
        <v>195200</v>
      </c>
      <c r="H3" s="123">
        <f t="shared" si="0"/>
        <v>0</v>
      </c>
      <c r="I3" s="123">
        <f t="shared" si="0"/>
        <v>3007320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75487243</v>
      </c>
      <c r="D4" s="127">
        <f>D5+D9+D15+D19+D23+D30+D33</f>
        <v>9632191</v>
      </c>
      <c r="E4" s="127">
        <f t="shared" ref="E4:P4" si="1">E5+E9+E15+E19+E23+E30+E33</f>
        <v>0</v>
      </c>
      <c r="F4" s="127">
        <f t="shared" si="1"/>
        <v>62872532</v>
      </c>
      <c r="G4" s="127">
        <f t="shared" si="1"/>
        <v>195200</v>
      </c>
      <c r="H4" s="127">
        <f t="shared" si="1"/>
        <v>0</v>
      </c>
      <c r="I4" s="127">
        <f t="shared" si="1"/>
        <v>2787320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27647518</v>
      </c>
      <c r="D5" s="13">
        <f>SUM(D6:D8)</f>
        <v>8969757</v>
      </c>
      <c r="E5" s="13">
        <f t="shared" ref="E5:P5" si="3">SUM(E6:E8)</f>
        <v>0</v>
      </c>
      <c r="F5" s="13">
        <f t="shared" si="3"/>
        <v>18677761</v>
      </c>
      <c r="G5" s="13">
        <f t="shared" si="3"/>
        <v>0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22431357</v>
      </c>
      <c r="D6" s="143">
        <f>SUMIFS('Plan rashoda za unos u SAP'!$I$3:$I$501,'Plan rashoda za unos u SAP'!$C$3:$C$501,"=11",'Plan rashoda za unos u SAP'!$M$3:$M$501,"=311")</f>
        <v>7578625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14852732</v>
      </c>
      <c r="G6" s="143">
        <f>SUMIFS('Plan rashoda za unos u SAP'!$I$3:$I$501,'Plan rashoda za unos u SAP'!$C$3:$C$501,"=43",'Plan rashoda za unos u SAP'!$M$3:$M$501,"=311")</f>
        <v>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1517113</v>
      </c>
      <c r="D7" s="143">
        <f>SUMIFS('Plan rashoda za unos u SAP'!$I$3:$I$501,'Plan rashoda za unos u SAP'!$C$3:$C$501,"=11",'Plan rashoda za unos u SAP'!$M$3:$M$501,"=312")</f>
        <v>157402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1359711</v>
      </c>
      <c r="G7" s="143">
        <f>SUMIFS('Plan rashoda za unos u SAP'!$I$3:$I$501,'Plan rashoda za unos u SAP'!$C$3:$C$501,"=43",'Plan rashoda za unos u SAP'!$M$3:$M$501,"=312")</f>
        <v>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3699048</v>
      </c>
      <c r="D8" s="143">
        <f>SUMIFS('Plan rashoda za unos u SAP'!$I$3:$I$501,'Plan rashoda za unos u SAP'!$C$3:$C$501,"=11",'Plan rashoda za unos u SAP'!$M$3:$M$501,"=313")</f>
        <v>1233730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2465318</v>
      </c>
      <c r="G8" s="143">
        <f>SUMIFS('Plan rashoda za unos u SAP'!$I$3:$I$501,'Plan rashoda za unos u SAP'!$C$3:$C$501,"=43",'Plan rashoda za unos u SAP'!$M$3:$M$501,"=313")</f>
        <v>0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47434123</v>
      </c>
      <c r="D9" s="79">
        <f t="shared" ref="D9:P9" si="4">SUM(D10:D14)</f>
        <v>649764</v>
      </c>
      <c r="E9" s="79">
        <f t="shared" si="4"/>
        <v>0</v>
      </c>
      <c r="F9" s="79">
        <f t="shared" si="4"/>
        <v>43801839</v>
      </c>
      <c r="G9" s="79">
        <f t="shared" si="4"/>
        <v>195200</v>
      </c>
      <c r="H9" s="79">
        <f t="shared" si="4"/>
        <v>0</v>
      </c>
      <c r="I9" s="79">
        <f t="shared" si="4"/>
        <v>2787320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1684433</v>
      </c>
      <c r="D10" s="143">
        <f>SUMIFS('Plan rashoda za unos u SAP'!$I$3:$I$501,'Plan rashoda za unos u SAP'!$C$3:$C$501,"=11",'Plan rashoda za unos u SAP'!$M$3:$M$501,"=321")</f>
        <v>218865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1426168</v>
      </c>
      <c r="G10" s="143">
        <f>SUMIFS('Plan rashoda za unos u SAP'!$I$3:$I$501,'Plan rashoda za unos u SAP'!$C$3:$C$501,"=43",'Plan rashoda za unos u SAP'!$M$3:$M$501,"=321")</f>
        <v>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39400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31863801</v>
      </c>
      <c r="D11" s="143">
        <f>SUMIFS('Plan rashoda za unos u SAP'!$I$3:$I$501,'Plan rashoda za unos u SAP'!$C$3:$C$501,"=11",'Plan rashoda za unos u SAP'!$M$3:$M$501,"=322")</f>
        <v>181642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31475459</v>
      </c>
      <c r="G11" s="143">
        <f>SUMIFS('Plan rashoda za unos u SAP'!$I$3:$I$501,'Plan rashoda za unos u SAP'!$C$3:$C$501,"=43",'Plan rashoda za unos u SAP'!$M$3:$M$501,"=322")</f>
        <v>45100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161600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8169279</v>
      </c>
      <c r="D12" s="143">
        <f>SUMIFS('Plan rashoda za unos u SAP'!$I$3:$I$501,'Plan rashoda za unos u SAP'!$C$3:$C$501,"=11",'Plan rashoda za unos u SAP'!$M$3:$M$501,"=323")</f>
        <v>214519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6820860</v>
      </c>
      <c r="G12" s="143">
        <f>SUMIFS('Plan rashoda za unos u SAP'!$I$3:$I$501,'Plan rashoda za unos u SAP'!$C$3:$C$501,"=43",'Plan rashoda za unos u SAP'!$M$3:$M$501,"=323")</f>
        <v>150100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983800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1458</v>
      </c>
      <c r="D13" s="143">
        <f>SUMIFS('Plan rashoda za unos u SAP'!$I$3:$I$501,'Plan rashoda za unos u SAP'!$C$3:$C$501,"=11",'Plan rashoda za unos u SAP'!$M$3:$M$501,"=324")</f>
        <v>1458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5715152</v>
      </c>
      <c r="D14" s="143">
        <f>SUMIFS('Plan rashoda za unos u SAP'!$I$3:$I$501,'Plan rashoda za unos u SAP'!$C$3:$C$501,"=11",'Plan rashoda za unos u SAP'!$M$3:$M$501,"=329")</f>
        <v>33280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4079352</v>
      </c>
      <c r="G14" s="143">
        <f>SUMIFS('Plan rashoda za unos u SAP'!$I$3:$I$501,'Plan rashoda za unos u SAP'!$C$3:$C$501,"=43",'Plan rashoda za unos u SAP'!$M$3:$M$501,"=329")</f>
        <v>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1602520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339175</v>
      </c>
      <c r="D15" s="4">
        <f t="shared" ref="D15:P15" si="5">SUM(D16:D18)</f>
        <v>12670</v>
      </c>
      <c r="E15" s="4">
        <f t="shared" si="5"/>
        <v>0</v>
      </c>
      <c r="F15" s="4">
        <f t="shared" si="5"/>
        <v>326505</v>
      </c>
      <c r="G15" s="4">
        <f t="shared" si="5"/>
        <v>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339175</v>
      </c>
      <c r="D18" s="143">
        <f>SUMIFS('Plan rashoda za unos u SAP'!$I$3:$I$501,'Plan rashoda za unos u SAP'!$C$3:$C$501,"=11",'Plan rashoda za unos u SAP'!$M$3:$M$501,"=343")</f>
        <v>12670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326505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66427</v>
      </c>
      <c r="D33" s="4">
        <f t="shared" ref="D33:P33" si="9">SUM(D34:D37)</f>
        <v>0</v>
      </c>
      <c r="E33" s="4">
        <f t="shared" si="9"/>
        <v>0</v>
      </c>
      <c r="F33" s="4">
        <f t="shared" si="9"/>
        <v>66427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9098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9098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57329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57329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243000</v>
      </c>
      <c r="D38" s="128">
        <f>D42+D49+D51+D53+D39</f>
        <v>23000</v>
      </c>
      <c r="E38" s="128">
        <f t="shared" ref="E38:P38" si="10">E42+E49+E51+E53+E39</f>
        <v>0</v>
      </c>
      <c r="F38" s="128">
        <f t="shared" si="10"/>
        <v>0</v>
      </c>
      <c r="G38" s="128">
        <f t="shared" si="10"/>
        <v>0</v>
      </c>
      <c r="H38" s="128">
        <f t="shared" si="10"/>
        <v>0</v>
      </c>
      <c r="I38" s="128">
        <f t="shared" si="10"/>
        <v>220000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243000</v>
      </c>
      <c r="D42" s="4">
        <f t="shared" ref="D42:P42" si="12">SUM(D43:D48)</f>
        <v>23000</v>
      </c>
      <c r="E42" s="4">
        <f t="shared" si="12"/>
        <v>0</v>
      </c>
      <c r="F42" s="4">
        <f t="shared" si="12"/>
        <v>0</v>
      </c>
      <c r="G42" s="4">
        <f t="shared" si="12"/>
        <v>0</v>
      </c>
      <c r="H42" s="4">
        <f t="shared" si="12"/>
        <v>0</v>
      </c>
      <c r="I42" s="4">
        <f t="shared" si="12"/>
        <v>220000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243000</v>
      </c>
      <c r="D44" s="143">
        <f>SUMIFS('Plan rashoda za unos u SAP'!$I$3:$I$501,'Plan rashoda za unos u SAP'!$C$3:$C$501,"=11",'Plan rashoda za unos u SAP'!$M$3:$M$501,"=422")</f>
        <v>23000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0</v>
      </c>
      <c r="G44" s="143">
        <f>SUMIFS('Plan rashoda za unos u SAP'!$I$3:$I$501,'Plan rashoda za unos u SAP'!$C$3:$C$501,"=43",'Plan rashoda za unos u SAP'!$M$3:$M$501,"=422")</f>
        <v>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220000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75962246</v>
      </c>
      <c r="D71" s="123">
        <f t="shared" ref="D71:P71" si="21">+D72+D80+D86</f>
        <v>9747525</v>
      </c>
      <c r="E71" s="123">
        <f t="shared" si="21"/>
        <v>0</v>
      </c>
      <c r="F71" s="123">
        <f t="shared" si="21"/>
        <v>63012201</v>
      </c>
      <c r="G71" s="123">
        <f t="shared" si="21"/>
        <v>0</v>
      </c>
      <c r="H71" s="123">
        <f t="shared" si="21"/>
        <v>0</v>
      </c>
      <c r="I71" s="123">
        <f t="shared" si="21"/>
        <v>3202520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75487246</v>
      </c>
      <c r="D72" s="132">
        <f t="shared" ref="D72:P72" si="22">SUM(D73:D79)</f>
        <v>9728525</v>
      </c>
      <c r="E72" s="132">
        <f t="shared" si="22"/>
        <v>0</v>
      </c>
      <c r="F72" s="132">
        <f t="shared" si="22"/>
        <v>63012201</v>
      </c>
      <c r="G72" s="132">
        <f t="shared" si="22"/>
        <v>0</v>
      </c>
      <c r="H72" s="132">
        <f t="shared" si="22"/>
        <v>0</v>
      </c>
      <c r="I72" s="132">
        <f t="shared" si="22"/>
        <v>2746520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27647521</v>
      </c>
      <c r="D73" s="143">
        <f>SUMIFS('Plan rashoda za unos u SAP'!$J$3:$J$501,'Plan rashoda za unos u SAP'!$C$3:$C$501,"=11",'Plan rashoda za unos u SAP'!$N$3:$N$501,"=31")</f>
        <v>9033452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18614069</v>
      </c>
      <c r="G73" s="143">
        <f>SUMIFS('Plan rashoda za unos u SAP'!$J$3:$J$501,'Plan rashoda za unos u SAP'!$C$3:$C$501,"=43",'Plan rashoda za unos u SAP'!$N$3:$N$501,"=31")</f>
        <v>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47434125</v>
      </c>
      <c r="D74" s="143">
        <f>SUMIFS('Plan rashoda za unos u SAP'!$J$3:$J$501,'Plan rashoda za unos u SAP'!$C$3:$C$501,"=11",'Plan rashoda za unos u SAP'!$N$3:$N$501,"=32")</f>
        <v>682402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44005203</v>
      </c>
      <c r="G74" s="143">
        <f>SUMIFS('Plan rashoda za unos u SAP'!$J$3:$J$501,'Plan rashoda za unos u SAP'!$C$3:$C$501,"=43",'Plan rashoda za unos u SAP'!$N$3:$N$501,"=32")</f>
        <v>0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2746520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339173</v>
      </c>
      <c r="D75" s="143">
        <f>SUMIFS('Plan rashoda za unos u SAP'!$J$3:$J$501,'Plan rashoda za unos u SAP'!$C$3:$C$501,"=11",'Plan rashoda za unos u SAP'!$N$3:$N$501,"=34")</f>
        <v>12671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326502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66427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66427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475000</v>
      </c>
      <c r="D80" s="133">
        <f t="shared" ref="D80:P80" si="24">SUM(D81:D85)</f>
        <v>19000</v>
      </c>
      <c r="E80" s="133">
        <f t="shared" si="24"/>
        <v>0</v>
      </c>
      <c r="F80" s="133">
        <f t="shared" si="24"/>
        <v>0</v>
      </c>
      <c r="G80" s="133">
        <f t="shared" si="24"/>
        <v>0</v>
      </c>
      <c r="H80" s="133">
        <f t="shared" si="24"/>
        <v>0</v>
      </c>
      <c r="I80" s="133">
        <f t="shared" si="24"/>
        <v>456000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475000</v>
      </c>
      <c r="D82" s="143">
        <f>SUMIFS('Plan rashoda za unos u SAP'!$J$3:$J$501,'Plan rashoda za unos u SAP'!$C$3:$C$501,"=11",'Plan rashoda za unos u SAP'!$N$3:$N$501,"=42")</f>
        <v>19000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0</v>
      </c>
      <c r="G82" s="143">
        <f>SUMIFS('Plan rashoda za unos u SAP'!$J$3:$J$501,'Plan rashoda za unos u SAP'!$C$3:$C$501,"=43",'Plan rashoda za unos u SAP'!$N$3:$N$501,"=42")</f>
        <v>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456000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75871703</v>
      </c>
      <c r="D91" s="123">
        <f t="shared" ref="D91:P91" si="27">D92+D100+D106</f>
        <v>9815215</v>
      </c>
      <c r="E91" s="123">
        <f t="shared" si="27"/>
        <v>0</v>
      </c>
      <c r="F91" s="123">
        <f t="shared" si="27"/>
        <v>62853968</v>
      </c>
      <c r="G91" s="123">
        <f t="shared" si="27"/>
        <v>0</v>
      </c>
      <c r="H91" s="123">
        <f t="shared" si="27"/>
        <v>0</v>
      </c>
      <c r="I91" s="123">
        <f t="shared" si="27"/>
        <v>3202520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74883403</v>
      </c>
      <c r="D92" s="132">
        <f t="shared" ref="D92:P92" si="28">SUM(D93:D99)</f>
        <v>9794915</v>
      </c>
      <c r="E92" s="132">
        <f t="shared" si="28"/>
        <v>0</v>
      </c>
      <c r="F92" s="132">
        <f t="shared" si="28"/>
        <v>62853968</v>
      </c>
      <c r="G92" s="132">
        <f t="shared" si="28"/>
        <v>0</v>
      </c>
      <c r="H92" s="132">
        <f t="shared" si="28"/>
        <v>0</v>
      </c>
      <c r="I92" s="132">
        <f t="shared" si="28"/>
        <v>2234520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27647519</v>
      </c>
      <c r="D93" s="143">
        <f>SUMIFS('Plan rashoda za unos u SAP'!$K$3:$K$501,'Plan rashoda za unos u SAP'!$C$3:$C$501,"=11",'Plan rashoda za unos u SAP'!$N$3:$N$501,"=31")</f>
        <v>9057753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18589766</v>
      </c>
      <c r="G93" s="143">
        <f>SUMIFS('Plan rashoda za unos u SAP'!$K$3:$K$501,'Plan rashoda za unos u SAP'!$C$3:$C$501,"=43",'Plan rashoda za unos u SAP'!$N$3:$N$501,"=31")</f>
        <v>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46830281</v>
      </c>
      <c r="D94" s="143">
        <f>SUMIFS('Plan rashoda za unos u SAP'!$K$3:$K$501,'Plan rashoda za unos u SAP'!$C$3:$C$501,"=11",'Plan rashoda za unos u SAP'!$N$3:$N$501,"=32")</f>
        <v>723559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43872202</v>
      </c>
      <c r="G94" s="143">
        <f>SUMIFS('Plan rashoda za unos u SAP'!$K$3:$K$501,'Plan rashoda za unos u SAP'!$C$3:$C$501,"=43",'Plan rashoda za unos u SAP'!$N$3:$N$501,"=32")</f>
        <v>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2234520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339176</v>
      </c>
      <c r="D95" s="143">
        <f>SUMIFS('Plan rashoda za unos u SAP'!$K$3:$K$501,'Plan rashoda za unos u SAP'!$C$3:$C$501,"=11",'Plan rashoda za unos u SAP'!$N$3:$N$501,"=34")</f>
        <v>13603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325573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66427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66427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988300</v>
      </c>
      <c r="D100" s="133">
        <f t="shared" ref="D100:P100" si="30">SUM(D101:D105)</f>
        <v>20300</v>
      </c>
      <c r="E100" s="133">
        <f t="shared" si="30"/>
        <v>0</v>
      </c>
      <c r="F100" s="133">
        <f t="shared" si="30"/>
        <v>0</v>
      </c>
      <c r="G100" s="133">
        <f t="shared" si="30"/>
        <v>0</v>
      </c>
      <c r="H100" s="133">
        <f t="shared" si="30"/>
        <v>0</v>
      </c>
      <c r="I100" s="133">
        <f t="shared" si="30"/>
        <v>968000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988300</v>
      </c>
      <c r="D102" s="143">
        <f>SUMIFS('Plan rashoda za unos u SAP'!$K$3:$K$501,'Plan rashoda za unos u SAP'!$C$3:$C$501,"=11",'Plan rashoda za unos u SAP'!$N$3:$N$501,"=42")</f>
        <v>20300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0</v>
      </c>
      <c r="G102" s="143">
        <f>SUMIFS('Plan rashoda za unos u SAP'!$K$3:$K$501,'Plan rashoda za unos u SAP'!$C$3:$C$501,"=43",'Plan rashoda za unos u SAP'!$N$3:$N$501,"=42")</f>
        <v>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968000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1" manualBreakCount="1">
    <brk id="7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/>
      <c r="B3" s="149" t="str">
        <f>IFERROR(VLOOKUP(A3,$R$6:$S$16,2,FALSE),"")</f>
        <v/>
      </c>
      <c r="C3" s="154"/>
      <c r="D3" s="149" t="str">
        <f t="shared" ref="D3:D66" si="0">IFERROR(VLOOKUP(C3,$U$5:$W$129,2,FALSE),"")</f>
        <v/>
      </c>
      <c r="E3" s="201"/>
      <c r="F3" s="149" t="str">
        <f>IFERROR(VLOOKUP(E3,$AA$6:$AB$200,2,FALSE),"")</f>
        <v/>
      </c>
      <c r="G3" s="198"/>
      <c r="H3" s="198"/>
      <c r="I3" s="198"/>
      <c r="J3" s="226"/>
      <c r="K3" s="225"/>
      <c r="L3" s="225"/>
      <c r="M3" s="226"/>
      <c r="N3" s="226"/>
      <c r="P3" s="144" t="str">
        <f>LEFT(C3,3)</f>
        <v/>
      </c>
      <c r="Q3" s="144" t="str">
        <f>LEFT(C3,2)</f>
        <v/>
      </c>
    </row>
    <row r="4" spans="1:28">
      <c r="A4" s="154"/>
      <c r="B4" s="149" t="str">
        <f t="shared" ref="B4:B67" si="1">IFERROR(VLOOKUP(A4,$R$6:$S$16,2,FALSE),"")</f>
        <v/>
      </c>
      <c r="C4" s="154"/>
      <c r="D4" s="149" t="str">
        <f t="shared" si="0"/>
        <v/>
      </c>
      <c r="E4" s="201"/>
      <c r="F4" s="149" t="str">
        <f t="shared" ref="F4:F67" si="2">IFERROR(VLOOKUP(E4,$AA$6:$AB$200,2,FALSE),"")</f>
        <v/>
      </c>
      <c r="G4" s="198"/>
      <c r="H4" s="198"/>
      <c r="I4" s="198"/>
      <c r="J4" s="226"/>
      <c r="K4" s="225"/>
      <c r="L4" s="225"/>
      <c r="M4" s="226"/>
      <c r="N4" s="226"/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198"/>
      <c r="H5" s="198"/>
      <c r="I5" s="198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201"/>
      <c r="F6" s="149" t="str">
        <f t="shared" si="2"/>
        <v/>
      </c>
      <c r="G6" s="198"/>
      <c r="H6" s="198"/>
      <c r="I6" s="198"/>
      <c r="J6" s="226"/>
      <c r="K6" s="225"/>
      <c r="L6" s="225"/>
      <c r="M6" s="226"/>
      <c r="N6" s="226"/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43" workbookViewId="0">
      <selection activeCell="B49" sqref="B49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184"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Anuša Rešetar</cp:lastModifiedBy>
  <cp:lastPrinted>2019-12-13T08:56:48Z</cp:lastPrinted>
  <dcterms:created xsi:type="dcterms:W3CDTF">2018-09-10T07:36:17Z</dcterms:created>
  <dcterms:modified xsi:type="dcterms:W3CDTF">2020-07-24T08:43:04Z</dcterms:modified>
</cp:coreProperties>
</file>