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<sst xmlns="http://schemas.openxmlformats.org/spreadsheetml/2006/main" count="3788" uniqueCount="2995">
  <si>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</si>
  <si>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</si>
  <si>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</si>
  <si>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</si>
  <si>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</si>
  <si>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</si>
  <si>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</si>
  <si>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</si>
  <si>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</si>
  <si>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</si>
  <si>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</si>
  <si>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</si>
  <si>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</si>
  <si>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</si>
  <si>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</si>
  <si>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</si>
  <si>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</si>
  <si>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</si>
  <si>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</si>
  <si>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</si>
  <si>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</si>
  <si>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</si>
  <si>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</si>
  <si>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</si>
  <si>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</si>
  <si>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</si>
  <si>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</si>
  <si>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</si>
  <si>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</si>
  <si>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</si>
  <si>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</si>
  <si>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</si>
  <si>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</si>
  <si>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</si>
  <si>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</si>
  <si>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</si>
  <si>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</si>
  <si>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</si>
  <si>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</si>
  <si>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</si>
  <si>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</si>
  <si>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</si>
  <si>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</si>
  <si>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</si>
  <si>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</si>
  <si>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</si>
  <si>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</si>
  <si>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</si>
  <si>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</si>
  <si>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</si>
  <si>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</si>
  <si>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</si>
  <si>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</si>
  <si>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</si>
  <si>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</si>
  <si>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</si>
  <si>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</si>
  <si>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</si>
  <si>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</si>
  <si>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</si>
  <si>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</si>
  <si>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</si>
  <si>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</si>
  <si>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</si>
  <si>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</si>
  <si>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</si>
  <si>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</si>
  <si>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</si>
  <si>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</si>
  <si>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</si>
  <si>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</si>
  <si>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</si>
  <si>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</si>
  <si>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</si>
  <si>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</si>
  <si>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</si>
  <si>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</si>
  <si>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</si>
  <si>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</si>
  <si>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</si>
  <si>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</si>
  <si>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</si>
  <si>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</si>
  <si>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</si>
  <si>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</si>
  <si>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</si>
  <si>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</si>
  <si>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</si>
  <si>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</si>
  <si>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</si>
  <si>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</si>
  <si>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</si>
  <si>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</si>
  <si>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</si>
  <si>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</si>
  <si>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</si>
  <si>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</si>
  <si>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</si>
  <si>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</si>
  <si>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</si>
  <si>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</si>
  <si>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</si>
  <si>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</si>
  <si>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</si>
  <si>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</si>
  <si>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</si>
  <si>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</si>
  <si>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</si>
  <si>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</si>
  <si>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</si>
  <si>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</si>
  <si>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</si>
  <si>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</si>
  <si>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</si>
  <si>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</si>
  <si>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</si>
  <si>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</si>
  <si>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</si>
  <si>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</si>
  <si>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</si>
  <si>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</si>
  <si>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</si>
  <si>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</si>
  <si>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</si>
  <si>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</si>
  <si>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</si>
  <si>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</si>
  <si>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</si>
  <si>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</si>
  <si>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</si>
  <si>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</si>
  <si>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</si>
  <si>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</si>
  <si>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</si>
  <si>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</si>
  <si>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</si>
  <si>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</si>
  <si>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</si>
  <si>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</si>
  <si>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</si>
  <si>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</si>
  <si>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</si>
  <si>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</si>
  <si>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</si>
  <si>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</si>
  <si>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</si>
  <si>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</si>
  <si>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</si>
  <si>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</si>
  <si>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</si>
  <si>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</si>
  <si>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</si>
  <si>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</si>
  <si>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</si>
  <si>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</si>
  <si>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</si>
  <si>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</si>
  <si>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</si>
  <si>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</si>
  <si>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</si>
  <si>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</si>
  <si>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</si>
  <si>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</si>
  <si>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</si>
  <si>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</si>
  <si>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</si>
  <si>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</si>
  <si>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</si>
  <si>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</si>
  <si>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</si>
  <si>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</si>
  <si>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</si>
  <si>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</si>
  <si>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</si>
  <si>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</si>
  <si>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</si>
  <si>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</si>
  <si>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</si>
  <si>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</si>
  <si>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</si>
  <si>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</si>
  <si>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</si>
  <si>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</si>
  <si>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</si>
  <si>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</si>
  <si>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</si>
  <si>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</si>
  <si>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</si>
  <si>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</si>
  <si>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</si>
  <si>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</si>
  <si>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</si>
  <si>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</si>
  <si>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</si>
  <si>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</si>
  <si>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</si>
  <si>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</si>
  <si>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</si>
  <si>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</si>
  <si>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</si>
  <si>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</si>
  <si>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</si>
  <si>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</si>
  <si>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</si>
  <si>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</si>
  <si>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</si>
  <si>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</si>
  <si>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</si>
  <si>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</si>
  <si>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</si>
  <si>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</si>
  <si>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</si>
  <si>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</si>
  <si>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</si>
  <si>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</si>
  <si>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</si>
  <si>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</si>
  <si>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</si>
  <si>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</si>
  <si>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</si>
  <si>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</si>
  <si>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</si>
  <si>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</si>
  <si>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</si>
  <si>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</si>
  <si>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</si>
  <si>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</si>
  <si>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</si>
  <si>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</si>
  <si>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</si>
  <si>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</si>
  <si>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</si>
  <si>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</si>
  <si>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</si>
  <si>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</si>
  <si>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</si>
  <si>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</si>
  <si>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</si>
  <si>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</si>
  <si>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</si>
  <si>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</si>
  <si>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</si>
  <si>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</si>
  <si>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</si>
  <si>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</si>
  <si>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</si>
  <si>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</si>
  <si>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</si>
  <si>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</si>
  <si>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</si>
  <si>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</si>
  <si>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</si>
  <si>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</si>
  <si>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</si>
  <si>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</si>
  <si>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</si>
  <si>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</si>
  <si>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</si>
  <si>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</si>
  <si>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</si>
  <si>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</si>
  <si>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</si>
  <si>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</si>
  <si>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</si>
  <si>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</si>
  <si>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</si>
  <si>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</si>
  <si>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</si>
  <si>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</si>
  <si>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</si>
  <si>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</si>
  <si>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</si>
  <si>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</si>
  <si>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</si>
  <si>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</si>
  <si>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</si>
  <si>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</si>
  <si>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</si>
  <si>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</si>
  <si>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</si>
  <si>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</si>
  <si>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</si>
  <si>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</si>
  <si>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</si>
  <si>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</si>
  <si>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</si>
  <si>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</si>
  <si>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</si>
  <si>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</si>
  <si>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</si>
  <si>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</si>
  <si>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</si>
  <si>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</si>
  <si>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</si>
  <si>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</si>
  <si>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</si>
  <si>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</si>
  <si>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</si>
  <si>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</si>
  <si>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</si>
  <si>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</si>
  <si>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</si>
  <si>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</si>
  <si>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</si>
  <si>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</si>
  <si>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</si>
  <si>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</si>
  <si>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</si>
  <si>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</si>
  <si>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</si>
  <si>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</si>
  <si>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</si>
  <si>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</si>
  <si>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</si>
  <si>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</si>
  <si>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</si>
  <si>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</si>
  <si>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</si>
  <si>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</si>
  <si>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</si>
  <si>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</si>
  <si>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</si>
  <si>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</si>
  <si>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</si>
  <si>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</si>
  <si>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</si>
  <si>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</si>
  <si>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</si>
  <si>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</si>
  <si>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</si>
  <si>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</si>
  <si>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</si>
  <si>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</si>
  <si>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</si>
  <si>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</si>
  <si>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</si>
  <si>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</si>
  <si>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</si>
  <si>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</si>
  <si>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</si>
  <si>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</si>
  <si>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</si>
  <si>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</si>
  <si>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</si>
  <si>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</si>
  <si>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</si>
  <si>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</si>
  <si>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</si>
  <si>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</si>
  <si>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</si>
  <si>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</si>
  <si>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</si>
  <si>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</si>
  <si>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</si>
  <si>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</si>
  <si>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</si>
  <si>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</si>
  <si>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</si>
  <si>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</si>
  <si>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</si>
  <si>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</si>
  <si>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</si>
  <si>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</si>
  <si>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</si>
  <si>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</si>
  <si>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</si>
  <si>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</si>
  <si>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</si>
  <si>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</si>
  <si>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</si>
  <si>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</si>
  <si>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</si>
  <si>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</si>
  <si>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</si>
  <si>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</si>
  <si>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</si>
  <si>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</si>
  <si>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</si>
  <si>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</si>
  <si>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</si>
  <si>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</si>
  <si>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</si>
  <si>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</si>
  <si>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</si>
  <si>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</si>
  <si>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</si>
  <si>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</si>
  <si>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</si>
  <si>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</si>
  <si>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</si>
  <si>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</si>
  <si>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</si>
  <si>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</si>
  <si>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</si>
  <si>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</si>
  <si>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</si>
  <si>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</si>
  <si>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</si>
  <si>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</si>
  <si>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</si>
  <si>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</si>
  <si>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</si>
  <si>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</si>
  <si>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</si>
  <si>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</si>
  <si>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</si>
  <si>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</si>
  <si>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</si>
  <si>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</si>
  <si>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</si>
  <si>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</si>
  <si>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</si>
  <si>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</si>
  <si>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</si>
  <si>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</si>
  <si>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</si>
  <si>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</si>
  <si>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</si>
  <si>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</si>
  <si>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</si>
  <si>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</si>
  <si>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</si>
  <si>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</si>
  <si>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</si>
  <si>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</si>
  <si>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</si>
  <si>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</si>
  <si>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</si>
  <si>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</si>
  <si>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</si>
  <si>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</si>
  <si>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</si>
  <si>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</si>
  <si>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</si>
  <si>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</si>
  <si>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</si>
  <si>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</si>
  <si>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</si>
  <si>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</si>
  <si>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</si>
  <si>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</si>
  <si>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</si>
  <si>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</si>
  <si>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</si>
  <si>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</si>
  <si>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</si>
  <si>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</si>
  <si>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</si>
  <si>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</si>
  <si>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</si>
  <si>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</si>
  <si>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</si>
  <si>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</si>
  <si>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</si>
  <si>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</si>
  <si>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</si>
  <si>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</si>
  <si>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</si>
  <si>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</si>
  <si>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</si>
  <si>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</si>
  <si>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</si>
  <si>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</si>
  <si>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</si>
  <si>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</si>
  <si>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</si>
  <si>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</si>
  <si>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</si>
  <si>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</si>
  <si>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</si>
  <si>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</si>
  <si>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</si>
  <si>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</si>
  <si>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</si>
  <si>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</si>
  <si>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</si>
  <si>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</si>
  <si>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</si>
  <si>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</si>
  <si>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</si>
  <si>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</si>
  <si>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</si>
  <si>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</si>
  <si>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</si>
  <si>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</si>
  <si>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</si>
  <si>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</si>
  <si>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</si>
  <si>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</si>
  <si>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</si>
  <si>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</si>
  <si>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</si>
  <si>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</si>
  <si>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</si>
  <si>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</si>
  <si>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</si>
  <si>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</si>
  <si>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</si>
  <si>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</si>
  <si>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</si>
  <si>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</si>
  <si>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</si>
  <si>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</si>
  <si>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</si>
  <si>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</si>
  <si>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</si>
  <si>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</si>
  <si>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</si>
  <si>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</si>
  <si>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</si>
  <si>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</si>
  <si>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</si>
  <si>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</si>
  <si>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</si>
  <si>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</si>
  <si>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</si>
  <si>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</si>
  <si>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</si>
  <si>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</si>
  <si>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</si>
  <si>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</si>
  <si>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</si>
  <si>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</si>
  <si>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</si>
  <si>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</si>
  <si>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</si>
  <si>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</si>
  <si>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</si>
  <si>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</si>
  <si>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</si>
  <si>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</si>
  <si>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</si>
  <si>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</si>
  <si>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</si>
  <si>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</si>
  <si>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</si>
  <si>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</si>
  <si>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</si>
  <si>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</si>
  <si>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</si>
  <si>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</si>
  <si>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</si>
  <si>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</si>
  <si>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</si>
  <si>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</si>
  <si>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</si>
  <si>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</si>
  <si>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</si>
  <si>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</si>
  <si>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</si>
  <si>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</si>
  <si>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</si>
  <si>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</si>
  <si>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</si>
  <si>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</si>
  <si>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</si>
  <si>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</si>
  <si>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</si>
  <si>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</si>
  <si>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</si>
  <si>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</si>
  <si>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</si>
  <si>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</si>
  <si>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</si>
  <si>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</si>
  <si>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</si>
  <si>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</si>
  <si>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</si>
  <si>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</si>
  <si>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</si>
  <si>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</si>
  <si>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</si>
  <si>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</si>
  <si>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</si>
  <si>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</si>
  <si>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</si>
  <si>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</si>
  <si>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</si>
  <si>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</si>
  <si>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</si>
  <si>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</si>
  <si>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</si>
  <si>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</si>
  <si>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</si>
  <si>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</si>
  <si>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</si>
  <si>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</si>
  <si>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</si>
  <si>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</si>
  <si>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</si>
  <si>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</si>
  <si>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</si>
  <si>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</si>
  <si>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</si>
  <si>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</si>
  <si>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</si>
  <si>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</si>
  <si>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</si>
  <si>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</si>
  <si>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</si>
  <si>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</si>
  <si>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</si>
  <si>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</si>
  <si>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</si>
  <si>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</si>
  <si>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</si>
  <si>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</si>
  <si>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</si>
  <si>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</si>
  <si>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</si>
  <si>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</si>
  <si>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</si>
  <si>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</si>
  <si>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</si>
  <si>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</si>
  <si>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</si>
  <si>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</si>
  <si>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</si>
  <si>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</si>
  <si>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</si>
  <si>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</si>
  <si>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</si>
  <si>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</si>
  <si>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</si>
  <si>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</si>
  <si>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</si>
  <si>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</si>
  <si>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</si>
  <si>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</si>
  <si>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</si>
  <si>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</si>
  <si>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</si>
  <si>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</si>
  <si>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</si>
  <si>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</si>
  <si>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</si>
  <si>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</si>
  <si>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</si>
  <si>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</si>
  <si>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</si>
  <si>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</si>
  <si>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</si>
  <si>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</si>
  <si>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</si>
  <si>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</si>
  <si>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</si>
  <si>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</si>
  <si>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</si>
  <si>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</si>
  <si>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</si>
  <si>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</si>
  <si>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</si>
  <si>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</si>
  <si>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</si>
  <si>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</si>
  <si>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</si>
  <si>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</si>
  <si>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</si>
  <si>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</si>
  <si>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</si>
  <si>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</si>
  <si>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</si>
  <si>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</si>
  <si>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</si>
  <si>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</si>
  <si>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</si>
  <si>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</si>
  <si>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</si>
  <si>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</si>
  <si>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</si>
  <si>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</si>
  <si>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</si>
  <si>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</si>
  <si>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</si>
  <si>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</si>
  <si>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</si>
  <si>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</si>
  <si>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</si>
  <si>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</si>
  <si>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</si>
  <si>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</si>
  <si>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</si>
  <si>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</si>
  <si>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</si>
  <si>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</si>
  <si>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</si>
  <si>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</si>
  <si>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</si>
  <si>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</si>
  <si>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</si>
  <si>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</si>
  <si>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</si>
  <si>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</si>
  <si>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</si>
  <si>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</si>
  <si>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</si>
  <si>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</si>
  <si>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</si>
  <si>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</si>
  <si>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</si>
  <si>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</si>
  <si>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</si>
  <si>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</si>
  <si>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</si>
  <si>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</si>
  <si>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</si>
  <si>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</si>
  <si>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</si>
  <si>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</si>
  <si>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</si>
  <si>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</si>
  <si>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</si>
  <si>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</si>
  <si>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</si>
  <si>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</si>
  <si>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</si>
  <si>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</si>
  <si>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</si>
  <si>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</si>
  <si>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</si>
  <si>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</si>
  <si>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</si>
  <si>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</si>
  <si>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</si>
  <si>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</si>
  <si>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</si>
  <si>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</si>
  <si>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</si>
  <si>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</si>
  <si>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</si>
  <si>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</si>
  <si>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</si>
  <si>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</si>
  <si>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</si>
  <si>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</si>
  <si>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</si>
  <si>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</si>
  <si>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</si>
  <si>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</si>
  <si>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</si>
  <si>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</si>
  <si>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</si>
  <si>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</si>
  <si>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</si>
  <si>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</si>
  <si>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</si>
  <si>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</si>
  <si>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</si>
  <si>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</si>
  <si>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</si>
  <si>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</si>
  <si>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</si>
  <si>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</si>
  <si>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</si>
  <si>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</si>
  <si>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</si>
  <si>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</si>
  <si>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</si>
  <si>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</si>
  <si>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</si>
  <si>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</si>
  <si>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</si>
  <si>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</si>
  <si>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</si>
  <si>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</si>
  <si>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</si>
  <si>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</si>
  <si>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</si>
  <si>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</si>
  <si>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</si>
  <si>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</si>
  <si>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</si>
  <si>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</si>
  <si>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</si>
  <si>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</si>
  <si>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</si>
  <si>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</si>
  <si>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</si>
  <si>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</si>
  <si>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</si>
  <si>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</si>
  <si>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</si>
  <si>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</si>
  <si>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</si>
  <si>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</si>
  <si>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</si>
  <si>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</si>
  <si>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</si>
  <si>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</si>
  <si>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</si>
  <si>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</si>
  <si>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</si>
  <si>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</si>
  <si>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</si>
  <si>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</si>
  <si>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</si>
  <si>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</si>
  <si>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</si>
  <si>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</si>
  <si>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</si>
  <si>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</si>
  <si>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</si>
  <si>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</si>
  <si>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</si>
  <si>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</si>
  <si>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</si>
  <si>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</si>
  <si>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</si>
  <si>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</si>
  <si>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</si>
  <si>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</si>
  <si>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</si>
  <si>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</si>
  <si>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</si>
  <si>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</si>
  <si>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</si>
  <si>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</si>
  <si>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</si>
  <si>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</si>
  <si>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</si>
  <si>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</si>
  <si>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</si>
  <si>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</si>
  <si>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</si>
  <si>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</si>
  <si>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</si>
  <si>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</si>
  <si>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</si>
  <si>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</si>
  <si>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</si>
  <si>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</si>
  <si>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</si>
  <si>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</si>
  <si>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</si>
  <si>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</si>
  <si>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</si>
  <si>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</si>
  <si>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</si>
  <si>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</si>
  <si>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</si>
  <si>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</si>
  <si>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</si>
  <si>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</si>
  <si>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</si>
  <si>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</si>
  <si>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</si>
  <si>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</si>
  <si>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</si>
  <si>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</si>
  <si>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</si>
  <si>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</si>
  <si>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</si>
  <si>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</si>
  <si>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</si>
  <si>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</si>
  <si>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</si>
  <si>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</si>
  <si>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</si>
  <si>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</si>
  <si>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</si>
  <si>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</si>
  <si>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</si>
  <si>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</si>
  <si>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</si>
  <si>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</si>
  <si>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</si>
  <si>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</si>
  <si>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</si>
  <si>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</si>
  <si>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</si>
  <si>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</si>
  <si>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</si>
  <si>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</si>
  <si>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</si>
  <si>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</si>
  <si>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</si>
  <si>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</si>
  <si>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</si>
  <si>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</si>
  <si>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</si>
  <si>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</si>
  <si>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</si>
  <si>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</si>
  <si>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</si>
  <si>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</si>
  <si>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</si>
  <si>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</si>
  <si>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</si>
  <si>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</si>
  <si>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</si>
  <si>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</si>
  <si>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</si>
  <si>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</si>
  <si>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</si>
  <si>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</si>
  <si>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</si>
  <si>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</si>
  <si>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</si>
  <si>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</si>
  <si>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</si>
  <si>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</si>
  <si>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</si>
  <si>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</si>
  <si>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</si>
  <si>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</si>
  <si>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</si>
  <si>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</si>
  <si>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</si>
  <si>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</si>
  <si>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</si>
  <si>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</si>
  <si>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</si>
  <si>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</si>
  <si>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</si>
  <si>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</si>
  <si>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</si>
  <si>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</si>
  <si>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</si>
  <si>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</si>
  <si>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</si>
  <si>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</si>
  <si>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</si>
  <si>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</si>
  <si>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</si>
  <si>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</si>
  <si>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</si>
  <si>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</si>
  <si>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</si>
  <si>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</si>
  <si>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</si>
  <si>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</si>
  <si>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</si>
  <si>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</si>
  <si>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</si>
  <si>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</si>
  <si>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</si>
  <si>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</si>
  <si>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</si>
  <si>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</si>
  <si>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</si>
  <si>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</si>
  <si>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</si>
  <si>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</si>
  <si>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</si>
  <si>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</si>
  <si>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</si>
  <si>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</si>
  <si>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</si>
  <si>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</si>
  <si>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</si>
  <si>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</si>
  <si>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</si>
  <si>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</si>
  <si>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</si>
  <si>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</si>
  <si>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</si>
  <si>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</si>
  <si>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</si>
  <si>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</si>
  <si>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</si>
  <si>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</si>
  <si>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</si>
  <si>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</si>
  <si>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</si>
  <si>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</si>
  <si>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</si>
  <si>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</si>
  <si>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</si>
  <si>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</si>
  <si>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</si>
  <si>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</si>
  <si>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</si>
  <si>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</si>
  <si>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</si>
  <si>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</si>
  <si>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</si>
  <si>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</si>
  <si>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</si>
  <si>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</si>
  <si>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</si>
  <si>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</si>
  <si>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</si>
  <si>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</si>
  <si>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</si>
  <si>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</si>
  <si>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</si>
  <si>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</si>
  <si>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</si>
  <si>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</si>
  <si>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</si>
  <si>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</si>
  <si>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</si>
  <si>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</si>
  <si>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</si>
  <si>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</si>
  <si>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</si>
  <si>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</si>
  <si>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</si>
  <si>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</si>
  <si>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</si>
  <si>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</si>
  <si>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</si>
  <si>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</si>
  <si>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</si>
  <si>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</si>
  <si>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</si>
  <si>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</si>
  <si>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</si>
  <si>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</si>
  <si>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</si>
  <si>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</si>
  <si>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</si>
  <si>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</si>
  <si>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</si>
  <si>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</si>
  <si>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</si>
  <si>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</si>
  <si>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</si>
  <si>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</si>
  <si>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</si>
  <si>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</si>
  <si>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</si>
  <si>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</si>
  <si>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</si>
  <si>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</si>
  <si>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</si>
  <si>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</si>
  <si>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</si>
  <si>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</si>
  <si>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</si>
  <si>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</si>
  <si>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</si>
  <si>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</si>
  <si>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</si>
  <si>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</si>
  <si>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</si>
  <si>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</si>
  <si>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</si>
  <si>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</si>
  <si>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</si>
  <si>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</si>
  <si>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</si>
  <si>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</si>
  <si>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</si>
  <si>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</si>
  <si>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</si>
  <si>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</si>
  <si>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</si>
  <si>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</si>
  <si>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</si>
  <si>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</si>
  <si>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</si>
  <si>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</si>
  <si>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</si>
  <si>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</si>
  <si>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</si>
  <si>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</si>
  <si>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</si>
  <si>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</si>
  <si>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</si>
  <si>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</si>
  <si>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</si>
  <si>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</si>
  <si>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</si>
  <si>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</si>
  <si>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</si>
  <si>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</si>
  <si>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</si>
  <si>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</si>
  <si>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</si>
  <si>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</si>
  <si>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</si>
  <si>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</si>
  <si>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</si>
  <si>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</si>
  <si>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</si>
  <si>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</si>
  <si>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</si>
  <si>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</si>
  <si>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</si>
  <si>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</si>
  <si>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</si>
  <si>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</si>
  <si>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</si>
  <si>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</si>
  <si>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</si>
  <si>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</si>
  <si>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</si>
  <si>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</si>
  <si>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</si>
  <si>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</si>
  <si>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</si>
  <si>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</si>
  <si>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</si>
  <si>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</si>
  <si>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</si>
  <si>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</si>
  <si>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</si>
  <si>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</si>
  <si>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</si>
  <si>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</si>
  <si>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</si>
  <si>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</si>
  <si>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</si>
  <si>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</si>
  <si>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</si>
  <si>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</si>
  <si>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</si>
  <si>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</si>
  <si>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</si>
  <si>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</si>
  <si>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</si>
  <si>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</si>
  <si>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</si>
  <si>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</si>
  <si>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</si>
  <si>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</si>
  <si>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</si>
  <si>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</si>
  <si>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</si>
  <si>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</si>
  <si>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</si>
  <si>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</si>
  <si>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</si>
  <si>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</si>
  <si>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</si>
  <si>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</si>
  <si>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</si>
  <si>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</si>
  <si>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</si>
  <si>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</si>
  <si>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</si>
  <si>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</si>
  <si>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</si>
  <si>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</si>
  <si>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</si>
  <si>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</si>
  <si>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</si>
  <si>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</si>
  <si>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</si>
  <si>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</si>
  <si>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</si>
  <si>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</si>
  <si>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</si>
  <si>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</si>
  <si>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</si>
  <si>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</si>
  <si>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</si>
  <si>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</si>
  <si>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</si>
  <si>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</si>
  <si>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</si>
  <si>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</si>
  <si>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</si>
  <si>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</si>
  <si>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</si>
  <si>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</si>
  <si>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</si>
  <si>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</si>
  <si>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</si>
  <si>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</si>
  <si>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</si>
  <si>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</si>
  <si>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</si>
  <si>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</si>
  <si>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</si>
  <si>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</si>
  <si>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</si>
  <si>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</si>
  <si>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</si>
  <si>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</si>
  <si>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</si>
  <si>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</si>
  <si>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</si>
  <si>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</si>
  <si>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</si>
  <si>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</si>
  <si>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</si>
  <si>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</si>
  <si>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</si>
  <si>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</si>
  <si>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</si>
  <si>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</si>
  <si>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</si>
  <si>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</si>
  <si>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</si>
  <si>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</si>
  <si>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</si>
  <si>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</si>
  <si>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</si>
  <si>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</si>
  <si>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</si>
  <si>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</si>
  <si>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</si>
  <si>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</si>
  <si>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</si>
  <si>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</si>
  <si>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</si>
  <si>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</si>
  <si>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</si>
  <si>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</si>
  <si>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</si>
  <si>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</si>
  <si>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</si>
  <si>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</si>
  <si>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</si>
  <si>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</si>
  <si>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</si>
  <si>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</si>
  <si>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</si>
  <si>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</si>
  <si>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</si>
  <si>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</si>
  <si>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</si>
  <si>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</si>
  <si>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</si>
  <si>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</si>
  <si>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</si>
  <si>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</si>
  <si>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</si>
  <si>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</si>
  <si>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</si>
  <si>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</si>
  <si>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</si>
  <si>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</si>
  <si>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</si>
  <si>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</si>
  <si>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</si>
  <si>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</si>
  <si>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</si>
  <si>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</si>
  <si>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</si>
  <si>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</si>
  <si>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</si>
  <si>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</si>
  <si>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</si>
  <si>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</si>
  <si>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</si>
  <si>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</si>
  <si>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</si>
  <si>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</si>
  <si>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</si>
  <si>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</si>
  <si>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</si>
  <si>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</si>
  <si>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</si>
  <si>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</si>
  <si>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</si>
  <si>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</si>
  <si>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</si>
  <si>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</si>
  <si>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</si>
  <si>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</si>
  <si>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</si>
  <si>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</si>
  <si>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</si>
  <si>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</si>
  <si>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</si>
  <si>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</si>
  <si>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</si>
  <si>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</si>
  <si>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</si>
  <si>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</si>
  <si>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</si>
  <si>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</si>
  <si>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</si>
  <si>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</si>
  <si>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</si>
  <si>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</si>
  <si>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</si>
  <si>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</si>
  <si>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</si>
  <si>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</si>
  <si>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</si>
  <si>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</si>
  <si>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</si>
  <si>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</si>
  <si>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</si>
  <si>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</si>
  <si>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</si>
  <si>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</si>
  <si>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</si>
  <si>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</si>
  <si>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</si>
  <si>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</si>
  <si>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</si>
  <si>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</si>
  <si>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</si>
  <si>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</si>
  <si>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</si>
  <si>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</si>
  <si>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</si>
  <si>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</si>
  <si>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</si>
  <si>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</si>
  <si>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</si>
  <si>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</si>
  <si>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</si>
  <si>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</si>
  <si>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</si>
  <si>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</si>
  <si>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</si>
  <si>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</si>
  <si>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</si>
  <si>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</si>
  <si>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</si>
  <si>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</si>
  <si>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</si>
  <si>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</si>
  <si>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</si>
  <si>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</si>
  <si>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</si>
  <si>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</si>
  <si>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</si>
  <si>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</si>
  <si>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</si>
  <si>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</si>
  <si>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</si>
  <si>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</si>
  <si>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</si>
  <si>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</si>
  <si>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</si>
  <si>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</si>
  <si>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</si>
  <si>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</si>
  <si>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</si>
  <si>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</si>
  <si>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</si>
  <si>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</si>
  <si>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</si>
  <si>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</si>
  <si>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</si>
  <si>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</si>
  <si>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</si>
  <si>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</si>
  <si>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</si>
  <si>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</si>
  <si>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</si>
  <si>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</si>
  <si>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</si>
  <si>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</si>
  <si>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</si>
  <si>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</si>
  <si>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</si>
  <si>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</si>
  <si>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</si>
  <si>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</si>
  <si>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</si>
  <si>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</si>
  <si>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</si>
  <si>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</si>
  <si>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</si>
  <si>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</si>
  <si>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</si>
  <si>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</si>
  <si>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</si>
  <si>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</si>
  <si>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</si>
  <si>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</si>
  <si>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</si>
  <si>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</si>
  <si>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</si>
  <si>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</si>
  <si>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</si>
  <si>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</si>
  <si>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</si>
  <si>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</si>
  <si>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</si>
  <si>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</si>
  <si>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</si>
  <si>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</si>
  <si>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</si>
  <si>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</si>
  <si>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</si>
  <si>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</si>
  <si>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</si>
  <si>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</si>
  <si>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</si>
  <si>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</si>
  <si>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</si>
  <si>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</si>
  <si>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</si>
  <si>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</si>
  <si>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</si>
  <si>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</si>
  <si>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</si>
  <si>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</si>
  <si>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</si>
  <si>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</si>
  <si>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</si>
  <si>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</si>
  <si>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</si>
  <si>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</si>
  <si>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</si>
  <si>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</si>
  <si>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</si>
  <si>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</si>
  <si>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</si>
  <si>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</si>
  <si>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</si>
  <si>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</si>
  <si>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</si>
  <si>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</si>
  <si>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</si>
  <si>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</si>
  <si>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</si>
  <si>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</si>
  <si>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</si>
  <si>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</si>
  <si>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</si>
  <si>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</si>
  <si>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</si>
  <si>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</si>
  <si>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</si>
  <si>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</si>
  <si>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</si>
  <si>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</si>
  <si>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</si>
  <si>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</si>
  <si>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</si>
  <si>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</si>
  <si>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</si>
  <si>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</si>
  <si>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</si>
  <si>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</si>
  <si>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</si>
  <si>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</si>
  <si>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</si>
  <si>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</si>
  <si>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</si>
  <si>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</si>
  <si>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</si>
  <si>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</si>
  <si>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</si>
  <si>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</si>
  <si>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</si>
  <si>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</si>
  <si>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</si>
  <si>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</si>
  <si>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</si>
  <si>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</si>
  <si>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</si>
  <si>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</si>
  <si>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</si>
  <si>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</si>
  <si>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</si>
  <si>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</si>
  <si>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</si>
  <si>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</si>
  <si>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</si>
  <si>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</si>
  <si>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</si>
  <si>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</si>
  <si>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</si>
  <si>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</si>
  <si>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</si>
  <si>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</si>
  <si>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</si>
  <si>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</si>
  <si>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</si>
  <si>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</si>
  <si>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</si>
  <si>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</si>
  <si>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</si>
  <si>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</si>
  <si>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</si>
  <si>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</si>
  <si>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</si>
  <si>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</si>
  <si>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</si>
  <si>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</si>
  <si>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</si>
  <si>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</si>
  <si>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</si>
  <si>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</si>
  <si>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</si>
  <si>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</si>
  <si>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</si>
  <si>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</si>
  <si>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</si>
  <si>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</si>
  <si>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</si>
  <si>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</si>
  <si>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</si>
  <si>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</si>
  <si>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</si>
  <si>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</si>
  <si>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</si>
  <si>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</si>
  <si>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</si>
  <si>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</si>
  <si>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</si>
  <si>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</si>
  <si>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</si>
  <si>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</si>
  <si>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</si>
  <si>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</si>
  <si>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</si>
  <si>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</si>
  <si>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</si>
  <si>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</si>
  <si>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</si>
  <si>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</si>
  <si>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</si>
  <si>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</si>
  <si>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</si>
  <si>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</si>
  <si>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</si>
  <si>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</si>
  <si>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</si>
  <si>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</si>
  <si>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</si>
  <si>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</si>
  <si>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</si>
  <si>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</si>
  <si>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</si>
  <si>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</si>
  <si>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</si>
  <si>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</si>
  <si>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</si>
  <si>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</si>
  <si>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</si>
  <si>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</si>
  <si>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</si>
  <si>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</si>
  <si>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</si>
  <si>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</si>
  <si>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</si>
  <si>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</si>
  <si>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</si>
  <si>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</si>
  <si>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</si>
  <si>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</si>
  <si>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</si>
  <si>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</si>
  <si>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</si>
  <si>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</si>
  <si>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</si>
  <si>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</si>
  <si>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</si>
  <si>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</si>
  <si>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</si>
  <si>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</si>
  <si>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</si>
  <si>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</si>
  <si>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</si>
  <si>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</si>
  <si>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</si>
  <si>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</si>
  <si>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</si>
  <si>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</si>
  <si>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</si>
  <si>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</si>
  <si>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</si>
  <si>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</si>
  <si>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</si>
  <si>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</si>
  <si>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</si>
  <si>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</si>
  <si>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</si>
  <si>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</si>
  <si>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</si>
  <si>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</si>
  <si>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</si>
  <si>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</si>
  <si>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</si>
  <si>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</si>
  <si>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</si>
  <si>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</si>
  <si>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</si>
  <si>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</si>
  <si>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</si>
  <si>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</si>
  <si>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</si>
  <si>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</si>
  <si>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</si>
  <si>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</si>
  <si>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</si>
  <si>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</si>
  <si>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</si>
  <si>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</si>
  <si>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</si>
  <si>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</si>
  <si>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</si>
  <si>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</si>
  <si>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</si>
  <si>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</si>
  <si>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</si>
  <si>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</si>
  <si>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</si>
  <si>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</si>
  <si>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</si>
  <si>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</si>
  <si>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</si>
  <si>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</si>
  <si>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</si>
  <si>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</si>
  <si>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</si>
  <si>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</si>
  <si>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</si>
  <si>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</si>
  <si>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</si>
  <si>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</si>
  <si>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</si>
  <si>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</si>
  <si>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</si>
  <si>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</si>
  <si>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</si>
  <si>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</si>
  <si>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</si>
  <si>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</si>
  <si>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</si>
  <si>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</si>
  <si>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</si>
  <si>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</si>
  <si>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</si>
  <si>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</si>
  <si>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</si>
  <si>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</si>
  <si>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</si>
  <si>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</si>
  <si>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</si>
  <si>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</si>
  <si>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</si>
  <si>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</si>
  <si>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</si>
  <si>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</si>
  <si>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</si>
  <si>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</si>
  <si>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</si>
  <si>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</si>
  <si>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</si>
  <si>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</si>
  <si>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</si>
  <si>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</si>
  <si>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</si>
  <si>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</si>
  <si>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</si>
  <si>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</si>
  <si>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</si>
  <si>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</si>
  <si>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</si>
  <si>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</si>
  <si>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</si>
  <si>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</si>
  <si>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</si>
  <si>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</si>
  <si>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</si>
  <si>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</si>
  <si>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</si>
  <si>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</si>
  <si>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</si>
  <si>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</si>
  <si>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</si>
  <si>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</si>
  <si>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</si>
  <si>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</si>
  <si>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</si>
  <si>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</si>
  <si>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</si>
  <si>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</si>
  <si>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</si>
  <si>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</si>
  <si>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</si>
  <si>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</si>
  <si>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</si>
  <si>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</si>
  <si>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</si>
  <si>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</si>
  <si>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</si>
  <si>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</si>
  <si>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</si>
  <si>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</si>
  <si>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</si>
  <si>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</si>
  <si>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</si>
  <si>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</si>
  <si>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</si>
  <si>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</si>
  <si>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</si>
  <si>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</si>
  <si>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</si>
  <si>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</si>
  <si>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</si>
  <si>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</si>
  <si>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</si>
  <si>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</si>
  <si>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</si>
  <si>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</si>
  <si>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</si>
  <si>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</si>
  <si>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</si>
  <si>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</si>
  <si>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</si>
  <si>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</si>
  <si>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</si>
  <si>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</si>
  <si>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</si>
  <si>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</si>
  <si>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</si>
  <si>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</si>
  <si>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</si>
  <si>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</si>
  <si>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</si>
  <si>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</si>
  <si>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</si>
  <si>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</si>
  <si>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</si>
  <si>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</si>
  <si>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</si>
  <si>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</si>
  <si>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</si>
  <si>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</si>
  <si>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</si>
  <si>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</si>
  <si>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</si>
  <si>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</si>
  <si>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</si>
  <si>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</si>
  <si>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</si>
  <si>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</si>
  <si>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</si>
  <si>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</si>
  <si>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</si>
  <si>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</si>
  <si>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</si>
  <si>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</si>
  <si>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</si>
  <si>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</si>
  <si>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</si>
  <si>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</si>
  <si>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</si>
  <si>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</si>
  <si>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</si>
  <si>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</si>
  <si>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</si>
  <si>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</si>
  <si>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</si>
  <si>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</si>
  <si>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</si>
  <si>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</si>
  <si>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</si>
  <si>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</si>
  <si>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</si>
  <si>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</si>
  <si>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</si>
  <si>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</si>
  <si>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</si>
  <si>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</si>
  <si>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</si>
  <si>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</si>
  <si>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</si>
  <si>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</si>
  <si>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</si>
  <si>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</si>
  <si>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</si>
  <si>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</si>
  <si>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</si>
  <si>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</si>
  <si>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</si>
  <si>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</si>
  <si>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</si>
  <si>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</si>
  <si>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</si>
  <si>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</si>
  <si>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</si>
  <si>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</si>
  <si>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</si>
  <si>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</si>
  <si>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</si>
  <si>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</si>
  <si>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</si>
  <si>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</si>
  <si>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</si>
  <si>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</si>
  <si>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</si>
  <si>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</si>
  <si>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</si>
  <si>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</si>
  <si>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</si>
  <si>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</si>
  <si>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</si>
  <si>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</si>
  <si>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</si>
  <si>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</si>
  <si>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</si>
  <si>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</si>
  <si>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</si>
  <si>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</si>
  <si>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</si>
  <si>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</si>
  <si>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</si>
  <si>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</si>
  <si>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</si>
  <si>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</si>
  <si>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</si>
  <si>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</si>
  <si>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</si>
  <si>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</si>
  <si>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</si>
  <si>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</si>
  <si>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</si>
  <si>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</si>
  <si>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</si>
  <si>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</si>
  <si>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</si>
  <si>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</si>
  <si>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</si>
  <si>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</si>
  <si>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</si>
  <si>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</si>
  <si>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</si>
  <si>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</si>
  <si>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</si>
  <si>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</si>
  <si>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</si>
  <si>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</si>
  <si>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</si>
  <si>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</si>
  <si>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</si>
  <si>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</si>
  <si>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</si>
  <si>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</si>
  <si>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</si>
  <si>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</si>
  <si>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</si>
  <si>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</si>
  <si>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</si>
  <si>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</si>
  <si>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</si>
  <si>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</si>
  <si>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</si>
  <si>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</si>
  <si>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</si>
  <si>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</si>
  <si>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</si>
  <si>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</si>
  <si>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</si>
  <si>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</si>
  <si>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</si>
  <si>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</si>
  <si>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</si>
  <si>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</si>
  <si>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</si>
  <si>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</si>
  <si>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</si>
  <si>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</si>
  <si>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</si>
  <si>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</si>
  <si>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</si>
  <si>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</si>
  <si>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</si>
  <si>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</si>
  <si>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</si>
  <si>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</si>
  <si>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</si>
  <si>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</si>
  <si>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</si>
  <si>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</si>
  <si>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</si>
  <si>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</si>
  <si>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</si>
  <si>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</si>
  <si>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</si>
  <si>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</si>
  <si>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</si>
  <si>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</si>
  <si>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</si>
  <si>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</si>
  <si>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</si>
  <si>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</si>
  <si>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</si>
  <si>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</si>
  <si>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</si>
  <si>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</si>
  <si>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</si>
  <si>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</si>
  <si>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</si>
  <si>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</si>
  <si>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</si>
  <si>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</si>
  <si>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</si>
  <si>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</si>
  <si>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</si>
  <si>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</si>
  <si>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</si>
  <si>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</si>
  <si>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</si>
  <si>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</si>
  <si>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</si>
  <si>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</si>
  <si>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</si>
  <si>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</si>
  <si>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</si>
  <si>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</si>
  <si>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</si>
  <si>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</si>
  <si>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</si>
  <si>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</si>
  <si>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</si>
  <si>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</si>
  <si>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</si>
  <si>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</si>
  <si>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</si>
  <si>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</si>
  <si>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</si>
  <si>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</si>
  <si>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</si>
  <si>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</si>
  <si>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</si>
  <si>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</si>
  <si>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</si>
  <si>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</si>
  <si>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</si>
  <si>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</si>
  <si>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</si>
  <si>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</si>
  <si>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</si>
  <si>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</si>
  <si>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</si>
  <si>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</si>
  <si>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</si>
  <si>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</si>
  <si>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</si>
  <si>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</si>
  <si>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</si>
  <si>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</si>
  <si>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</si>
  <si>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</si>
  <si>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</si>
  <si>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</si>
  <si>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</si>
  <si>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</si>
  <si>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</si>
  <si>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</si>
  <si>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</si>
  <si>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</si>
  <si>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</si>
  <si>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</si>
  <si>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</si>
  <si>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</si>
  <si>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</si>
  <si>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</si>
  <si>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</si>
  <si>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</si>
  <si>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</si>
  <si>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</si>
  <si>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</si>
  <si>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</si>
  <si>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</si>
  <si>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</si>
  <si>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</si>
  <si>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</si>
  <si>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</si>
  <si>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</si>
  <si>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</si>
  <si>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</si>
  <si>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</si>
  <si>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</si>
  <si>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</si>
  <si>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</si>
  <si>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</si>
  <si>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</si>
  <si>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</si>
  <si>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</si>
  <si>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</si>
  <si>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</si>
  <si>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</si>
  <si>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</si>
  <si>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</si>
  <si>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</si>
  <si>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</si>
  <si>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</si>
  <si>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</si>
  <si>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</si>
  <si>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</si>
  <si>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</si>
  <si>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</si>
  <si>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</si>
  <si>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</si>
  <si>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</si>
  <si>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</si>
  <si>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</si>
  <si>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</si>
  <si>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</si>
  <si>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</si>
  <si>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</si>
  <si>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</si>
  <si>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</si>
  <si>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</si>
  <si>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</si>
  <si>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</si>
  <si>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</si>
  <si>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</si>
  <si>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</si>
  <si>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</si>
  <si>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</si>
  <si>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</si>
  <si>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</si>
  <si>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</si>
  <si>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</si>
  <si>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</si>
  <si>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</si>
  <si>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</si>
  <si>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</si>
  <si>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</si>
  <si>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</si>
  <si>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</si>
  <si>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</si>
  <si>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</si>
  <si>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</si>
  <si>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</si>
  <si>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</si>
  <si>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</si>
  <si>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</si>
  <si>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</si>
  <si>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</si>
  <si>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</si>
  <si>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</si>
  <si>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</si>
  <si>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</si>
  <si>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</si>
  <si>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</si>
  <si>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</si>
  <si>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</si>
  <si>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</si>
  <si>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</si>
  <si>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</si>
  <si>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</si>
  <si>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</si>
  <si>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</si>
  <si>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</si>
  <si>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</si>
  <si>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</si>
  <si>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</si>
  <si>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</si>
  <si>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</si>
  <si>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</si>
  <si>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</si>
  <si>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</si>
  <si>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</si>
  <si>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</si>
  <si>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</si>
  <si>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</si>
  <si>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</si>
  <si>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</si>
  <si>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</si>
  <si>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</si>
  <si>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</si>
  <si>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</si>
  <si>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</si>
  <si>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</si>
  <si>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</si>
  <si>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</si>
  <si>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</si>
  <si>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</si>
  <si>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</si>
  <si>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</si>
  <si>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</si>
  <si>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</si>
  <si>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</si>
  <si>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</si>
  <si>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</si>
  <si>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</si>
  <si>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</si>
  <si>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</si>
  <si>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</si>
  <si>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</si>
  <si>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</si>
  <si>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</si>
  <si>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</si>
  <si>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</si>
  <si>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</si>
  <si>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</si>
  <si>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</si>
  <si>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</si>
  <si>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</si>
  <si>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</si>
  <si>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</si>
  <si>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</si>
  <si>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</si>
  <si>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</si>
  <si>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</si>
  <si>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</si>
  <si>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</si>
  <si>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</si>
  <si>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</si>
  <si>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</si>
  <si>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</si>
  <si>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</si>
  <si>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</si>
  <si>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</si>
  <si>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</si>
  <si>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</si>
  <si>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</si>
  <si>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</si>
  <si>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</si>
  <si>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</si>
  <si>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</si>
  <si>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</si>
  <si>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</si>
  <si>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</si>
  <si>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</si>
  <si>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</si>
  <si>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</si>
  <si>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</si>
  <si>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</si>
  <si>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</si>
  <si>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</si>
  <si>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</si>
  <si>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</si>
  <si>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</si>
  <si>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</si>
  <si>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</si>
  <si>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</si>
  <si>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</si>
  <si>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</si>
  <si>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</si>
  <si>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</si>
  <si>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</si>
  <si>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</si>
  <si>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</si>
  <si>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</si>
  <si>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</si>
  <si>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</si>
  <si>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</si>
  <si>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</si>
  <si>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</si>
  <si>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</si>
  <si>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</si>
  <si>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</si>
  <si>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</si>
  <si>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</si>
  <si>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</si>
  <si>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</si>
  <si>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</si>
  <si>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</si>
  <si>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</si>
  <si>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</si>
  <si>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</si>
  <si>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</si>
  <si>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</si>
  <si>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</si>
  <si>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</si>
  <si>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</si>
  <si>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</si>
  <si>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</si>
  <si>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</si>
  <si>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</si>
  <si>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</si>
  <si>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</si>
  <si>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</si>
  <si>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</si>
  <si>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</si>
  <si>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</si>
  <si>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</si>
  <si>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</si>
  <si>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</si>
  <si>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</si>
  <si>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</si>
  <si>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</si>
  <si>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</si>
  <si>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</si>
  <si>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</si>
  <si>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</si>
  <si>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</si>
  <si>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</si>
  <si>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</si>
  <si>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</si>
  <si>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</si>
  <si>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</si>
  <si>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</si>
  <si>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</si>
  <si>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</si>
  <si>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</si>
  <si>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</si>
  <si>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</si>
  <si>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</si>
  <si>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</si>
  <si>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</si>
  <si>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</si>
  <si>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</si>
  <si>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</si>
  <si>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</si>
  <si>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</si>
  <si>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</si>
  <si>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</si>
  <si>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</si>
  <si>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</si>
  <si>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</si>
  <si>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</si>
  <si>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</si>
  <si>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</si>
  <si>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</si>
  <si>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</si>
  <si>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</si>
  <si>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</si>
  <si>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</si>
  <si>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</si>
  <si>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</si>
  <si>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</si>
  <si>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</si>
  <si>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</si>
  <si>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</si>
  <si>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</si>
  <si>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</si>
  <si>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</si>
  <si>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</si>
  <si>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</si>
  <si>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</si>
  <si>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</si>
  <si>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</si>
  <si>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</si>
  <si>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</si>
  <si>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</si>
  <si>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</si>
  <si>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</si>
  <si>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</si>
  <si>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</si>
  <si>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</si>
  <si>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</si>
  <si>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</si>
  <si>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</si>
  <si>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</si>
  <si>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</si>
  <si>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</si>
  <si>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</si>
  <si>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</si>
  <si>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</si>
  <si>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</si>
  <si>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</si>
  <si>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</si>
  <si>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</si>
  <si>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</si>
  <si>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</si>
  <si>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</si>
  <si>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</si>
  <si>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</si>
  <si>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</si>
  <si>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</si>
  <si>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</si>
  <si>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</si>
  <si>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</si>
  <si>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</si>
  <si>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</si>
  <si>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</si>
  <si>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</si>
  <si>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</si>
  <si>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</si>
  <si>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</si>
  <si>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</si>
  <si>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</si>
  <si>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</si>
  <si>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</si>
  <si>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</si>
  <si>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</si>
  <si>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</si>
  <si>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</si>
  <si>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</si>
  <si>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</si>
  <si>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</si>
  <si>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</si>
  <si>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</si>
  <si>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</si>
  <si>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</si>
  <si>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</si>
  <si>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</si>
  <si>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</si>
  <si>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</si>
  <si>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</si>
  <si>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</si>
  <si>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</si>
  <si>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</si>
  <si>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</si>
  <si>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</si>
  <si>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</si>
  <si>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</si>
  <si>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</si>
  <si>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</si>
  <si>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</si>
  <si>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</si>
  <si>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</si>
  <si>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</si>
  <si>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</si>
  <si>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</si>
  <si>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</si>
  <si>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</si>
  <si>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</si>
  <si>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</si>
  <si>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</si>
  <si>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</si>
  <si>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</si>
  <si>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</si>
  <si>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</si>
  <si>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</si>
  <si>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</si>
  <si>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</si>
  <si>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</si>
  <si>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</si>
  <si>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</si>
  <si>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</si>
  <si>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</si>
  <si>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</si>
  <si>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</si>
  <si>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</si>
  <si>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</si>
  <si>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</si>
  <si>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</si>
  <si>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</si>
  <si>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</si>
  <si>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</si>
  <si>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</si>
  <si>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</si>
  <si>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</si>
  <si>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</si>
  <si>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</si>
  <si>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</si>
  <si>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</si>
  <si>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</si>
  <si>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</si>
  <si>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</si>
  <si>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</si>
  <si>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</si>
  <si>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</si>
  <si>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</si>
  <si>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</si>
  <si>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</si>
  <si>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</si>
  <si>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</si>
  <si>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</si>
  <si>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</si>
  <si>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</si>
  <si>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</si>
  <si>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</si>
  <si>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</si>
  <si>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</si>
  <si>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</si>
  <si>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</si>
  <si>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</si>
  <si>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</si>
  <si>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</si>
  <si>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</si>
  <si>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</si>
  <si>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</si>
  <si>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</si>
  <si>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</si>
  <si>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</si>
  <si>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</si>
  <si>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</si>
  <si>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</si>
  <si>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</si>
  <si>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</si>
  <si>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</si>
  <si>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</si>
  <si>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</si>
  <si>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</si>
  <si>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</si>
  <si>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</si>
  <si>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</si>
  <si>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</si>
  <si>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</si>
  <si>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</si>
  <si>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</si>
  <si>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</si>
  <si>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</si>
  <si>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</si>
  <si>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</si>
  <si>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</si>
  <si>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</si>
  <si>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</si>
  <si>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</si>
  <si>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</si>
  <si>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</si>
  <si>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</si>
  <si>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</si>
  <si>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</si>
  <si>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</si>
  <si>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</si>
  <si>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</si>
  <si>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</si>
  <si>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</si>
  <si>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</si>
  <si>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</si>
  <si>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</si>
  <si>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</si>
  <si>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</si>
  <si>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</si>
  <si>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</si>
  <si>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</si>
  <si>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</si>
  <si>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</si>
  <si>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</si>
  <si>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</si>
  <si>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</si>
  <si>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</si>
  <si>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</si>
  <si>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</si>
  <si>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</si>
  <si>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</si>
  <si>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</si>
  <si>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</si>
  <si>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</si>
  <si>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</si>
  <si>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</si>
  <si>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</si>
  <si>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</si>
  <si>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</si>
  <si>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</si>
  <si>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</si>
  <si>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</si>
  <si>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</si>
  <si>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</si>
  <si>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</si>
  <si>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</si>
  <si>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</si>
  <si>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</si>
  <si>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</si>
  <si>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</si>
  <si>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</si>
  <si>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</si>
  <si>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</si>
  <si>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</si>
  <si>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</si>
  <si>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</si>
  <si>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</si>
  <si>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</si>
  <si>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</si>
  <si>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</si>
  <si>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</si>
  <si>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</si>
  <si>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</si>
  <si>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</si>
  <si>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</si>
  <si>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</si>
  <si>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</si>
  <si>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</si>
  <si>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</si>
  <si>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</si>
  <si>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</si>
  <si>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</si>
  <si>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</si>
  <si>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</si>
  <si>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</si>
  <si>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</si>
  <si>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</si>
  <si>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</si>
  <si>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</si>
  <si>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</si>
  <si>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</si>
  <si>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</si>
  <si>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</si>
  <si>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</si>
  <si>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</si>
  <si>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</si>
  <si>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</si>
  <si>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</si>
  <si>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</si>
  <si>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</si>
  <si>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</si>
  <si>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</si>
  <si>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</si>
  <si>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</si>
  <si>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</si>
  <si>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</si>
  <si>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</si>
  <si>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</si>
  <si>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</si>
  <si>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</si>
  <si>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</si>
  <si>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</si>
  <si>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</si>
  <si>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</si>
  <si>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</si>
  <si>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</si>
  <si>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</si>
  <si>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</si>
  <si>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</si>
  <si>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</si>
  <si>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</si>
  <si>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</si>
  <si>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</si>
  <si>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</si>
  <si>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</si>
  <si>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</si>
  <si>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</si>
  <si>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</si>
  <si>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</si>
  <si>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</si>
  <si>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</si>
  <si>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</si>
  <si>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</si>
  <si>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</si>
  <si>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</si>
  <si>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</si>
  <si>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</si>
  <si>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</si>
  <si>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</si>
  <si>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</si>
  <si>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</si>
  <si>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</si>
  <si>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</si>
  <si>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</si>
  <si>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</si>
  <si>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</si>
  <si>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</si>
  <si>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</si>
  <si>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</si>
  <si>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</si>
  <si>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</si>
  <si>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</si>
  <si>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</si>
  <si>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</si>
  <si>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</si>
  <si>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</si>
  <si>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</si>
  <si>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</si>
  <si>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</si>
  <si>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</si>
  <si>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</si>
  <si>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</si>
  <si>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</si>
  <si>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</si>
  <si>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</si>
  <si>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</si>
  <si>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</si>
  <si>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</si>
  <si>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</si>
  <si>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</si>
  <si>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</si>
  <si>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</si>
  <si>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</si>
  <si>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</si>
  <si>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</si>
  <si>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</si>
  <si>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</si>
  <si>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</si>
  <si>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</si>
  <si>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</si>
  <si>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</si>
  <si>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</si>
  <si>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</si>
  <si>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</si>
  <si>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</si>
  <si>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</si>
  <si>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</si>
  <si>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</si>
  <si>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</si>
  <si>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</si>
  <si>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</si>
  <si>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</si>
  <si>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</si>
  <si>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</si>
  <si>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</si>
  <si>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</si>
  <si>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</si>
  <si>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</si>
  <si>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</si>
  <si>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</si>
  <si>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</si>
  <si>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</si>
  <si>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</si>
  <si>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</si>
  <si>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</si>
  <si>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</si>
  <si>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</si>
  <si>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</si>
  <si>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</si>
  <si>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</si>
  <si>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</si>
  <si>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</si>
  <si>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</si>
  <si>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</si>
  <si>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</si>
  <si>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</si>
  <si>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</si>
  <si>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</si>
  <si>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</si>
  <si>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</si>
  <si>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</si>
  <si>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</si>
  <si>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</si>
  <si>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</si>
  <si>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</si>
  <si>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</si>
  <si>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</si>
  <si>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</si>
  <si>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</si>
  <si>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</si>
  <si>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</si>
  <si>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</si>
  <si>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</si>
  <si>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</si>
  <si>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</si>
  <si>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</si>
  <si>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</si>
  <si>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</si>
  <si>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</si>
  <si>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</si>
  <si>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</si>
  <si>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</si>
  <si>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</si>
  <si>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</si>
  <si>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</si>
  <si>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</si>
  <si>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</si>
  <si>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</si>
  <si>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</si>
  <si>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</si>
  <si>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</si>
  <si>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</si>
  <si>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</si>
  <si>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</si>
  <si>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</si>
  <si>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</si>
  <si>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</si>
  <si>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</si>
  <si>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</si>
  <si>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</si>
  <si>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</si>
  <si>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</si>
  <si>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</si>
  <si>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</si>
  <si>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</si>
  <si>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</si>
  <si>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</si>
  <si>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</si>
  <si>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</si>
  <si>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</si>
  <si>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</si>
  <si>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</si>
  <si>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</si>
  <si>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</si>
  <si>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</si>
  <si>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</si>
  <si>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</si>
  <si>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</si>
  <si>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</si>
  <si>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</si>
  <si>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</si>
  <si>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</si>
  <si>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</si>
  <si>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</si>
  <si>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</si>
  <si>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</si>
  <si>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</si>
  <si>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</si>
  <si>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</si>
  <si>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</si>
  <si>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</si>
  <si>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</si>
  <si>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</si>
  <si>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</si>
  <si>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</si>
  <si>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</si>
  <si>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</si>
  <si>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</si>
  <si>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</si>
  <si>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</si>
  <si>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</si>
  <si>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</si>
  <si>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</si>
  <si>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</si>
  <si>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</si>
  <si>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</si>
  <si>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</si>
  <si>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</si>
  <si>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</si>
  <si>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</si>
  <si>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</si>
  <si>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</si>
  <si>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</si>
  <si>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</si>
  <si>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</si>
  <si>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</si>
  <si>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</si>
  <si>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</si>
  <si>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</si>
  <si>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</si>
  <si>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</si>
  <si>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</si>
  <si>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</si>
  <si>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</si>
  <si>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</si>
  <si>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</si>
  <si>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</si>
  <si>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</si>
  <si>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</si>
  <si>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</si>
  <si>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</si>
  <si>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</si>
  <si>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</si>
  <si>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</si>
  <si>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</si>
  <si>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</si>
  <si>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</si>
  <si>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</si>
  <si>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</si>
  <si>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</si>
  <si>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</si>
  <si>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</si>
  <si>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</si>
  <si>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</si>
  <si>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</si>
  <si>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</si>
  <si>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</si>
  <si>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</si>
  <si>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</si>
  <si>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</si>
  <si>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</si>
  <si>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</si>
  <si>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</si>
  <si>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</si>
  <si>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</si>
  <si>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</si>
  <si>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</si>
  <si>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</si>
  <si>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</si>
  <si>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</si>
  <si>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</si>
  <si>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</si>
  <si>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</si>
  <si>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</si>
  <si>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</si>
  <si>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</si>
  <si>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</si>
  <si>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</si>
  <si>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</si>
  <si>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</si>
  <si>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</si>
  <si>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</si>
  <si>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</si>
  <si>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</si>
  <si>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</si>
  <si>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</si>
  <si>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</si>
  <si>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</si>
  <si>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</si>
  <si>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</si>
  <si>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</si>
  <si>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</si>
  <si>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</si>
  <si>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</si>
  <si>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</si>
  <si>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</si>
  <si>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</si>
  <si>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</si>
  <si>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</si>
  <si>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</si>
  <si>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</si>
  <si>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</si>
  <si>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</si>
  <si>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</si>
  <si>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</si>
  <si>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</si>
  <si>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</si>
  <si>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</si>
  <si>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</si>
  <si>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</si>
  <si>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</si>
  <si>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</si>
  <si>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</si>
  <si>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</si>
  <si>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</si>
  <si>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</si>
  <si>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</si>
  <si>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</si>
  <si>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</si>
  <si>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</si>
  <si>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</si>
  <si>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</si>
  <si>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</si>
  <si>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</si>
  <si>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</si>
  <si>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</si>
  <si>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</si>
  <si>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</si>
  <si>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</si>
  <si>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</si>
  <si>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</si>
  <si>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</si>
  <si>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</si>
  <si>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</si>
  <si>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</si>
  <si>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</si>
  <si>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</si>
  <si>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</si>
  <si>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</si>
  <si>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</si>
  <si>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</si>
  <si>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</si>
  <si>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</si>
  <si>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</si>
  <si>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</si>
  <si>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</si>
  <si>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</si>
  <si>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</si>
  <si>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</si>
  <si>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</si>
  <si>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</si>
  <si>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</si>
  <si>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</si>
  <si>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</si>
  <si>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</si>
  <si>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</si>
  <si>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</si>
  <si>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</si>
  <si>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</si>
  <si>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</si>
  <si>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</si>
  <si>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</si>
  <si>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</si>
  <si>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</si>
  <si>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</si>
  <si>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</si>
  <si>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</si>
  <si>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</si>
  <si>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</si>
  <si>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</si>
  <si>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</si>
  <si>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</si>
  <si>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</si>
  <si>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</si>
  <si>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</si>
  <si>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</si>
  <si>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</si>
  <si>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</si>
  <si>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</si>
  <si>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</si>
  <si>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</si>
  <si>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</si>
  <si>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</si>
  <si>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</si>
  <si>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</si>
  <si>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</si>
  <si>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</si>
  <si>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</si>
  <si>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</si>
  <si>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</si>
  <si>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</si>
  <si>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</si>
  <si>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</si>
  <si>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</si>
  <si>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</si>
  <si>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</si>
  <si>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</si>
  <si>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</si>
  <si>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</si>
  <si>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</si>
  <si>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</si>
  <si>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</si>
  <si>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</si>
  <si>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</si>
  <si>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</si>
  <si>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</si>
  <si>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</si>
  <si>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</si>
  <si>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</si>
  <si>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</si>
  <si>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</si>
  <si>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</si>
  <si>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</si>
  <si>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</si>
  <si>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</si>
  <si>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</si>
  <si>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</si>
  <si>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</si>
  <si>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</si>
  <si>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</si>
  <si>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</si>
  <si>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</si>
  <si>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</si>
  <si>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</si>
  <si>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</si>
  <si>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</si>
  <si>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</si>
  <si>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</si>
  <si>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</si>
  <si>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</si>
  <si>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</si>
  <si>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</si>
  <si>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</si>
  <si>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</si>
  <si>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</si>
  <si>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</si>
  <si>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</si>
  <si>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</si>
  <si>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</si>
  <si>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</si>
  <si>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</si>
  <si>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</si>
  <si>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</si>
  <si>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</si>
  <si>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</si>
  <si>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</si>
  <si>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</si>
  <si>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</si>
  <si>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</si>
  <si>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</si>
  <si>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</si>
  <si>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</si>
  <si>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</si>
  <si>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</si>
  <si>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</si>
  <si>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</si>
  <si>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</si>
  <si>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</si>
  <si>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</si>
  <si>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</si>
  <si>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</si>
  <si>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</si>
  <si>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</si>
  <si>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</si>
  <si>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</si>
  <si>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</si>
  <si>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</si>
  <si>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</si>
  <si>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</si>
  <si>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</si>
  <si>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</si>
  <si>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</si>
  <si>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</si>
  <si>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</si>
  <si>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</si>
  <si>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</si>
  <si>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</si>
  <si>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</si>
  <si>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</si>
  <si>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</si>
  <si>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</si>
  <si>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</si>
  <si>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</si>
  <si>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</si>
  <si>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</si>
  <si>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</si>
  <si>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</si>
  <si>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</si>
  <si>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</si>
  <si>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</si>
  <si>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</si>
  <si>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</si>
  <si>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</si>
  <si>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</si>
  <si>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</si>
  <si>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</si>
  <si>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</si>
  <si>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</si>
  <si>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</si>
  <si>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</si>
  <si>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</si>
  <si>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</si>
  <si>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</si>
  <si>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</si>
  <si>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</si>
  <si>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</si>
  <si>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</si>
  <si>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</si>
  <si>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</si>
  <si>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</si>
  <si>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</si>
  <si>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</si>
  <si>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</si>
  <si>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</si>
  <si>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</si>
  <si>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</si>
  <si>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</si>
  <si>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</si>
  <si>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</si>
  <si>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</si>
  <si>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</si>
  <si>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</si>
  <si>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</si>
  <si>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</si>
  <si>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</si>
  <si>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</si>
  <si>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</si>
  <si>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</si>
  <si>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</si>
  <si>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</si>
  <si>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</si>
  <si>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</si>
  <si>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</si>
  <si>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</si>
  <si>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</si>
  <si>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03665720049</t>
  </si>
  <si>
    <t>03058239</t>
  </si>
  <si>
    <t>030056560</t>
  </si>
  <si>
    <t>POLJOPRIVREDNI INSTITUT OSIJEK</t>
  </si>
  <si>
    <t>OSIJEK</t>
  </si>
  <si>
    <t>JUŽNO PREDGRAĐE 17</t>
  </si>
  <si>
    <t>anusa.resetar@poljinos.hr</t>
  </si>
  <si>
    <t>www.poljinos.hr</t>
  </si>
  <si>
    <t>031/515-585</t>
  </si>
  <si>
    <t>ANUŠA REŠETAR</t>
  </si>
  <si>
    <t>031/515/585</t>
  </si>
  <si>
    <t>ZDUNIĆ ZVONIMIR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</si>
</sst>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53"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6010879.72</v>
      </c>
      <c r="I3" s="27">
        <f>ABS(ROUND(J3,0)-J3)+ABS(ROUND(K3,0)-K3)</f>
        <v>0</v>
      </c>
      <c r="J3" s="27">
        <f>Bilanca!I10</f>
        <v>100923708</v>
      </c>
      <c r="K3" s="27">
        <f>Bilanca!J10</f>
        <v>99810139</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03058239</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030056560</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03665720049</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POLJOPRIVREDNI INSTITUT OSIJEK</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31000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OSIJEK</v>
      </c>
      <c r="D11" s="4" t="s">
        <v>554</v>
      </c>
      <c r="E11" s="4">
        <v>1</v>
      </c>
      <c r="F11" s="4">
        <f>Bilanca!G18</f>
        <v>10</v>
      </c>
      <c r="G11" s="4">
        <f>IF(Bilanca!H18=0,"",Bilanca!H18)</f>
      </c>
      <c r="H11" s="26">
        <f t="shared" si="0"/>
        <v>30019746.2</v>
      </c>
      <c r="I11" s="27">
        <f t="shared" si="1"/>
        <v>0</v>
      </c>
      <c r="J11" s="27">
        <f>Bilanca!I18</f>
        <v>100777470</v>
      </c>
      <c r="K11" s="27">
        <f>Bilanca!J18</f>
        <v>99709996</v>
      </c>
    </row>
    <row r="12" spans="1:11" ht="12.75">
      <c r="A12" s="4" t="s">
        <v>2738</v>
      </c>
      <c r="B12" s="25" t="str">
        <f>TRIM(RefStr!C33)</f>
        <v>JUŽNO PREDGRAĐE 17</v>
      </c>
      <c r="D12" s="4" t="s">
        <v>554</v>
      </c>
      <c r="E12" s="4">
        <v>1</v>
      </c>
      <c r="F12" s="4">
        <f>Bilanca!G19</f>
        <v>11</v>
      </c>
      <c r="G12" s="4">
        <f>IF(Bilanca!H19=0,"",Bilanca!H19)</f>
      </c>
      <c r="H12" s="26">
        <f t="shared" si="0"/>
        <v>21125932.52</v>
      </c>
      <c r="I12" s="27">
        <f t="shared" si="1"/>
        <v>0</v>
      </c>
      <c r="J12" s="27">
        <f>Bilanca!I19</f>
        <v>64598054</v>
      </c>
      <c r="K12" s="27">
        <f>Bilanca!J19</f>
        <v>63727939</v>
      </c>
    </row>
    <row r="13" spans="1:11" ht="12.75">
      <c r="A13" s="4" t="s">
        <v>2884</v>
      </c>
      <c r="B13" s="25" t="str">
        <f>TRIM(RefStr!C35)</f>
        <v>anusa.resetar@poljinos.hr</v>
      </c>
      <c r="D13" s="4" t="s">
        <v>554</v>
      </c>
      <c r="E13" s="4">
        <v>1</v>
      </c>
      <c r="F13" s="4">
        <f>Bilanca!G20</f>
        <v>12</v>
      </c>
      <c r="G13" s="4">
        <f>IF(Bilanca!H20=0,"",Bilanca!H20)</f>
      </c>
      <c r="H13" s="26">
        <f t="shared" si="0"/>
        <v>5900322.84</v>
      </c>
      <c r="I13" s="27">
        <f t="shared" si="1"/>
        <v>0</v>
      </c>
      <c r="J13" s="27">
        <f>Bilanca!I20</f>
        <v>15842221</v>
      </c>
      <c r="K13" s="27">
        <f>Bilanca!J20</f>
        <v>16663568</v>
      </c>
    </row>
    <row r="14" spans="1:11" ht="12.75">
      <c r="A14" s="4" t="s">
        <v>2885</v>
      </c>
      <c r="B14" s="25" t="str">
        <f>TRIM(RefStr!C37)</f>
        <v>www.poljinos.hr</v>
      </c>
      <c r="D14" s="4" t="s">
        <v>554</v>
      </c>
      <c r="E14" s="4">
        <v>1</v>
      </c>
      <c r="F14" s="4">
        <f>Bilanca!G21</f>
        <v>13</v>
      </c>
      <c r="G14" s="4">
        <f>IF(Bilanca!H21=0,"",Bilanca!H21)</f>
      </c>
      <c r="H14" s="26">
        <f t="shared" si="0"/>
        <v>3480612.59</v>
      </c>
      <c r="I14" s="27">
        <f t="shared" si="1"/>
        <v>0</v>
      </c>
      <c r="J14" s="27">
        <f>Bilanca!I21</f>
        <v>8458931</v>
      </c>
      <c r="K14" s="27">
        <f>Bilanca!J21</f>
        <v>9157506</v>
      </c>
    </row>
    <row r="15" spans="1:11" ht="12.75">
      <c r="A15" s="4" t="s">
        <v>2741</v>
      </c>
      <c r="B15" s="25" t="str">
        <f>TEXT(RefStr!J39,"00")</f>
        <v>14</v>
      </c>
      <c r="D15" s="4" t="s">
        <v>554</v>
      </c>
      <c r="E15" s="4">
        <v>1</v>
      </c>
      <c r="F15" s="4">
        <f>Bilanca!G22</f>
        <v>14</v>
      </c>
      <c r="G15" s="4">
        <f>IF(Bilanca!H22=0,"",Bilanca!H22)</f>
      </c>
      <c r="H15" s="26">
        <f t="shared" si="0"/>
        <v>3628733.92</v>
      </c>
      <c r="I15" s="27">
        <f t="shared" si="1"/>
        <v>0</v>
      </c>
      <c r="J15" s="27">
        <f>Bilanca!I22</f>
        <v>8596238</v>
      </c>
      <c r="K15" s="27">
        <f>Bilanca!J22</f>
        <v>8661645</v>
      </c>
    </row>
    <row r="16" spans="1:11" ht="12.75">
      <c r="A16" s="4" t="s">
        <v>2740</v>
      </c>
      <c r="B16" s="25" t="str">
        <f>TEXT(RefStr!C39,"000")</f>
        <v>312</v>
      </c>
      <c r="D16" s="4" t="s">
        <v>554</v>
      </c>
      <c r="E16" s="4">
        <v>1</v>
      </c>
      <c r="F16" s="4">
        <f>Bilanca!G23</f>
        <v>15</v>
      </c>
      <c r="G16" s="4">
        <f>IF(Bilanca!H23=0,"",Bilanca!H23)</f>
      </c>
      <c r="H16" s="26">
        <f t="shared" si="0"/>
        <v>410106.74999999994</v>
      </c>
      <c r="I16" s="27">
        <f t="shared" si="1"/>
        <v>0</v>
      </c>
      <c r="J16" s="27">
        <f>Bilanca!I23</f>
        <v>950217</v>
      </c>
      <c r="K16" s="27">
        <f>Bilanca!J23</f>
        <v>891914</v>
      </c>
    </row>
    <row r="17" spans="1:11" ht="12.75">
      <c r="A17" s="4" t="s">
        <v>2739</v>
      </c>
      <c r="B17" s="25" t="str">
        <f>RefStr!C42</f>
        <v>7219</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438750.44999999995</v>
      </c>
      <c r="I18" s="27">
        <f t="shared" si="1"/>
        <v>0</v>
      </c>
      <c r="J18" s="27">
        <f>Bilanca!I25</f>
        <v>2009885</v>
      </c>
      <c r="K18" s="27">
        <f>Bilanca!J25</f>
        <v>285500</v>
      </c>
    </row>
    <row r="19" spans="1:11" ht="12.75">
      <c r="A19" s="4" t="s">
        <v>2887</v>
      </c>
      <c r="B19" s="25" t="str">
        <f>IF(RefStr!I21&lt;&gt;"",RefStr!I21,"")</f>
        <v>NE</v>
      </c>
      <c r="D19" s="4" t="s">
        <v>554</v>
      </c>
      <c r="E19" s="4">
        <v>1</v>
      </c>
      <c r="F19" s="4">
        <f>Bilanca!G26</f>
        <v>18</v>
      </c>
      <c r="G19" s="4">
        <f>IF(Bilanca!H26=0,"",Bilanca!H26)</f>
      </c>
      <c r="H19" s="26">
        <f t="shared" si="0"/>
        <v>173838.95999999996</v>
      </c>
      <c r="I19" s="27">
        <f t="shared" si="1"/>
        <v>0</v>
      </c>
      <c r="J19" s="27">
        <f>Bilanca!I26</f>
        <v>321924</v>
      </c>
      <c r="K19" s="27">
        <f>Bilanca!J26</f>
        <v>321924</v>
      </c>
    </row>
    <row r="20" spans="1:11" ht="12.75">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2</v>
      </c>
      <c r="D21" s="4" t="s">
        <v>554</v>
      </c>
      <c r="E21" s="4">
        <v>1</v>
      </c>
      <c r="F21" s="4">
        <f>Bilanca!G28</f>
        <v>20</v>
      </c>
      <c r="G21" s="4">
        <f>IF(Bilanca!H28=0,"",Bilanca!H28)</f>
      </c>
      <c r="H21" s="26">
        <f t="shared" si="0"/>
        <v>69304.8</v>
      </c>
      <c r="I21" s="27">
        <f t="shared" si="1"/>
        <v>0</v>
      </c>
      <c r="J21" s="27">
        <f>Bilanca!I28</f>
        <v>146238</v>
      </c>
      <c r="K21" s="27">
        <f>Bilanca!J28</f>
        <v>100143</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209</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210</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164</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164</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103957.2</v>
      </c>
      <c r="I31" s="27">
        <f t="shared" si="1"/>
        <v>0</v>
      </c>
      <c r="J31" s="27">
        <f>Bilanca!I38</f>
        <v>146238</v>
      </c>
      <c r="K31" s="27">
        <f>Bilanca!J38</f>
        <v>100143</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73410249.60000001</v>
      </c>
      <c r="I38" s="27">
        <f t="shared" si="1"/>
        <v>0</v>
      </c>
      <c r="J38" s="27">
        <f>Bilanca!I45</f>
        <v>61377756</v>
      </c>
      <c r="K38" s="27">
        <f>Bilanca!J45</f>
        <v>68514162</v>
      </c>
    </row>
    <row r="39" spans="1:11" ht="12.75">
      <c r="A39" s="4" t="s">
        <v>1611</v>
      </c>
      <c r="B39" s="25" t="str">
        <f>RefStr!C68</f>
        <v>ANUŠA REŠETAR</v>
      </c>
      <c r="D39" s="4" t="s">
        <v>554</v>
      </c>
      <c r="E39" s="4">
        <v>1</v>
      </c>
      <c r="F39" s="4">
        <f>Bilanca!G46</f>
        <v>38</v>
      </c>
      <c r="G39" s="4">
        <f>IF(Bilanca!H46=0,"",Bilanca!H46)</f>
      </c>
      <c r="H39" s="26">
        <f t="shared" si="0"/>
        <v>46218284.699999996</v>
      </c>
      <c r="I39" s="27">
        <f t="shared" si="1"/>
        <v>0</v>
      </c>
      <c r="J39" s="27">
        <f>Bilanca!I46</f>
        <v>34997267</v>
      </c>
      <c r="K39" s="27">
        <f>Bilanca!J46</f>
        <v>43314899</v>
      </c>
    </row>
    <row r="40" spans="1:11" ht="12.75">
      <c r="A40" s="4" t="s">
        <v>1612</v>
      </c>
      <c r="B40" s="25" t="str">
        <f>TRIM(RefStr!C70)</f>
        <v>031/515/585</v>
      </c>
      <c r="D40" s="4" t="s">
        <v>554</v>
      </c>
      <c r="E40" s="4">
        <v>1</v>
      </c>
      <c r="F40" s="4">
        <f>Bilanca!G47</f>
        <v>39</v>
      </c>
      <c r="G40" s="4">
        <f>IF(Bilanca!H47=0,"",Bilanca!H47)</f>
      </c>
      <c r="H40" s="26">
        <f t="shared" si="0"/>
        <v>4619909.97</v>
      </c>
      <c r="I40" s="27">
        <f t="shared" si="1"/>
        <v>0</v>
      </c>
      <c r="J40" s="27">
        <f>Bilanca!I47</f>
        <v>3668833</v>
      </c>
      <c r="K40" s="27">
        <f>Bilanca!J47</f>
        <v>4088545</v>
      </c>
    </row>
    <row r="41" spans="1:11" ht="12.75">
      <c r="A41" s="4" t="s">
        <v>1613</v>
      </c>
      <c r="B41" s="25" t="s">
        <v>72</v>
      </c>
      <c r="D41" s="4" t="s">
        <v>554</v>
      </c>
      <c r="E41" s="4">
        <v>1</v>
      </c>
      <c r="F41" s="4">
        <f>Bilanca!G48</f>
        <v>40</v>
      </c>
      <c r="G41" s="4">
        <f>IF(Bilanca!H48=0,"",Bilanca!H48)</f>
      </c>
      <c r="H41" s="26">
        <f t="shared" si="0"/>
        <v>5707369.199999999</v>
      </c>
      <c r="I41" s="27">
        <f t="shared" si="1"/>
        <v>0</v>
      </c>
      <c r="J41" s="27">
        <f>Bilanca!I48</f>
        <v>4451689</v>
      </c>
      <c r="K41" s="27">
        <f>Bilanca!J48</f>
        <v>4908367</v>
      </c>
    </row>
    <row r="42" spans="1:11" ht="12.75">
      <c r="A42" s="4" t="s">
        <v>1300</v>
      </c>
      <c r="B42" s="25" t="str">
        <f>TRIM(RefStr!C72)</f>
        <v>anusa.resetar@poljinos.hr</v>
      </c>
      <c r="D42" s="4" t="s">
        <v>554</v>
      </c>
      <c r="E42" s="4">
        <v>1</v>
      </c>
      <c r="F42" s="4">
        <f>Bilanca!G49</f>
        <v>41</v>
      </c>
      <c r="G42" s="4">
        <f>IF(Bilanca!H49=0,"",Bilanca!H49)</f>
      </c>
      <c r="H42" s="26">
        <f t="shared" si="0"/>
        <v>9516416.93</v>
      </c>
      <c r="I42" s="27">
        <f t="shared" si="1"/>
        <v>0</v>
      </c>
      <c r="J42" s="27">
        <f>Bilanca!I49</f>
        <v>6961835</v>
      </c>
      <c r="K42" s="27">
        <f>Bilanca!J49</f>
        <v>8124469</v>
      </c>
    </row>
    <row r="43" spans="1:11" ht="12.75">
      <c r="A43" s="4" t="s">
        <v>1299</v>
      </c>
      <c r="B43" s="25" t="str">
        <f>TRIM(RefStr!A75)</f>
        <v>ZDUNIĆ ZVONIMIR</v>
      </c>
      <c r="D43" s="4" t="s">
        <v>554</v>
      </c>
      <c r="E43" s="4">
        <v>1</v>
      </c>
      <c r="F43" s="4">
        <f>Bilanca!G50</f>
        <v>42</v>
      </c>
      <c r="G43" s="4">
        <f>IF(Bilanca!H50=0,"",Bilanca!H50)</f>
      </c>
      <c r="H43" s="26">
        <f t="shared" si="0"/>
        <v>30366817.32</v>
      </c>
      <c r="I43" s="27">
        <f t="shared" si="1"/>
        <v>0</v>
      </c>
      <c r="J43" s="27">
        <f>Bilanca!I50</f>
        <v>19914910</v>
      </c>
      <c r="K43" s="27">
        <f>Bilanca!J50</f>
        <v>26193518</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25100919.36</v>
      </c>
      <c r="I47" s="27">
        <f t="shared" si="3"/>
        <v>0</v>
      </c>
      <c r="J47" s="27">
        <f>Bilanca!I54</f>
        <v>17147520</v>
      </c>
      <c r="K47" s="27">
        <f>Bilanca!J54</f>
        <v>18709848</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23445421.020000003</v>
      </c>
      <c r="I50" s="27">
        <f t="shared" si="3"/>
        <v>0</v>
      </c>
      <c r="J50" s="27">
        <f>Bilanca!I57</f>
        <v>12902520</v>
      </c>
      <c r="K50" s="27">
        <f>Bilanca!J57</f>
        <v>17472639</v>
      </c>
    </row>
    <row r="51" spans="1:11" ht="12.75">
      <c r="A51" s="4" t="s">
        <v>1035</v>
      </c>
      <c r="B51" s="25" t="str">
        <f>RefStr!I60</f>
        <v>NE</v>
      </c>
      <c r="D51" s="4" t="s">
        <v>554</v>
      </c>
      <c r="E51" s="4">
        <v>1</v>
      </c>
      <c r="F51" s="4">
        <f>Bilanca!G58</f>
        <v>50</v>
      </c>
      <c r="G51" s="4">
        <f>IF(Bilanca!H58=0,"",Bilanca!H58)</f>
      </c>
      <c r="H51" s="26">
        <f t="shared" si="2"/>
        <v>62313.5</v>
      </c>
      <c r="I51" s="27">
        <f t="shared" si="3"/>
        <v>0</v>
      </c>
      <c r="J51" s="27">
        <f>Bilanca!I58</f>
        <v>39197</v>
      </c>
      <c r="K51" s="27">
        <f>Bilanca!J58</f>
        <v>42715</v>
      </c>
    </row>
    <row r="52" spans="1:11" ht="12.75">
      <c r="A52" s="4" t="s">
        <v>1614</v>
      </c>
      <c r="B52" s="25" t="s">
        <v>1237</v>
      </c>
      <c r="D52" s="4" t="s">
        <v>554</v>
      </c>
      <c r="E52" s="4">
        <v>1</v>
      </c>
      <c r="F52" s="4">
        <f>Bilanca!G59</f>
        <v>51</v>
      </c>
      <c r="G52" s="4">
        <f>IF(Bilanca!H59=0,"",Bilanca!H59)</f>
      </c>
      <c r="H52" s="26">
        <f t="shared" si="2"/>
        <v>3360235.9800000004</v>
      </c>
      <c r="I52" s="27">
        <f t="shared" si="3"/>
        <v>0</v>
      </c>
      <c r="J52" s="27">
        <f>Bilanca!I59</f>
        <v>4199710</v>
      </c>
      <c r="K52" s="27">
        <f>Bilanca!J59</f>
        <v>1194494</v>
      </c>
    </row>
    <row r="53" spans="1:11" ht="12.75">
      <c r="A53" s="4" t="s">
        <v>1301</v>
      </c>
      <c r="B53" s="25" t="str">
        <f>RefStr!I56</f>
        <v>NE</v>
      </c>
      <c r="D53" s="4" t="s">
        <v>554</v>
      </c>
      <c r="E53" s="4">
        <v>1</v>
      </c>
      <c r="F53" s="4">
        <f>Bilanca!G60</f>
        <v>52</v>
      </c>
      <c r="G53" s="4">
        <f>IF(Bilanca!H60=0,"",Bilanca!H60)</f>
      </c>
      <c r="H53" s="26">
        <f t="shared" si="2"/>
        <v>3168.36</v>
      </c>
      <c r="I53" s="27">
        <f t="shared" si="3"/>
        <v>0</v>
      </c>
      <c r="J53" s="27">
        <f>Bilanca!I60</f>
        <v>6093</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7599430058.56</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13993433.370000001</v>
      </c>
      <c r="I64" s="27">
        <f t="shared" si="3"/>
        <v>0</v>
      </c>
      <c r="J64" s="27">
        <f>Bilanca!I71</f>
        <v>9232969</v>
      </c>
      <c r="K64" s="27">
        <f>Bilanca!J71</f>
        <v>6489415</v>
      </c>
    </row>
    <row r="65" spans="1:11" ht="12.75">
      <c r="A65" s="4" t="s">
        <v>923</v>
      </c>
      <c r="B65" s="25" t="str">
        <f>TRIM(RefStr!N19)</f>
        <v>HSFI</v>
      </c>
      <c r="D65" s="4" t="s">
        <v>554</v>
      </c>
      <c r="E65" s="4">
        <v>1</v>
      </c>
      <c r="F65" s="4">
        <f>Bilanca!G72</f>
        <v>64</v>
      </c>
      <c r="G65" s="4">
        <f>IF(Bilanca!H72=0,"",Bilanca!H72)</f>
      </c>
      <c r="H65" s="26">
        <f t="shared" si="2"/>
        <v>82527.36</v>
      </c>
      <c r="I65" s="27">
        <f t="shared" si="3"/>
        <v>0</v>
      </c>
      <c r="J65" s="27">
        <f>Bilanca!I72</f>
        <v>128949</v>
      </c>
      <c r="K65" s="27">
        <f>Bilanca!J72</f>
        <v>0</v>
      </c>
    </row>
    <row r="66" spans="1:11" ht="12.75">
      <c r="A66" s="4" t="s">
        <v>924</v>
      </c>
      <c r="B66" s="25">
        <f>RefStr!C23</f>
        <v>1</v>
      </c>
      <c r="D66" s="4" t="s">
        <v>554</v>
      </c>
      <c r="E66" s="4">
        <v>1</v>
      </c>
      <c r="F66" s="4">
        <f>Bilanca!G73</f>
        <v>65</v>
      </c>
      <c r="G66" s="4">
        <f>IF(Bilanca!H73=0,"",Bilanca!H73)</f>
      </c>
      <c r="H66" s="26">
        <f t="shared" si="2"/>
        <v>324401359.75</v>
      </c>
      <c r="I66" s="27">
        <f t="shared" si="3"/>
        <v>0</v>
      </c>
      <c r="J66" s="27">
        <f>Bilanca!I73</f>
        <v>162430413</v>
      </c>
      <c r="K66" s="27">
        <f>Bilanca!J73</f>
        <v>168324301</v>
      </c>
    </row>
    <row r="67" spans="1:11" ht="12.75">
      <c r="A67" s="4" t="s">
        <v>925</v>
      </c>
      <c r="B67" s="25" t="str">
        <f>TRIM(RefStr!L35)</f>
        <v>031/515-585</v>
      </c>
      <c r="D67" s="4" t="s">
        <v>554</v>
      </c>
      <c r="E67" s="4">
        <v>1</v>
      </c>
      <c r="F67" s="4">
        <f>Bilanca!G74</f>
        <v>66</v>
      </c>
      <c r="G67" s="4">
        <f>IF(Bilanca!H74=0,"",Bilanca!H74)</f>
      </c>
      <c r="H67" s="26">
        <f t="shared" si="2"/>
        <v>3896.64</v>
      </c>
      <c r="I67" s="27">
        <f t="shared" si="3"/>
        <v>0</v>
      </c>
      <c r="J67" s="27">
        <f>Bilanca!I74</f>
        <v>5744</v>
      </c>
      <c r="K67" s="27">
        <f>Bilanca!J74</f>
        <v>80</v>
      </c>
    </row>
    <row r="68" spans="1:11" ht="12.75">
      <c r="A68" s="4" t="s">
        <v>926</v>
      </c>
      <c r="B68" s="25">
        <f>RefStr!C44</f>
        <v>10</v>
      </c>
      <c r="D68" s="4" t="s">
        <v>554</v>
      </c>
      <c r="E68" s="4">
        <v>1</v>
      </c>
      <c r="F68" s="4">
        <f>Bilanca!G76</f>
        <v>67</v>
      </c>
      <c r="G68" s="4">
        <f>IF(Bilanca!H76=0,"",Bilanca!H76)</f>
      </c>
      <c r="H68" s="26">
        <f t="shared" si="2"/>
        <v>258882211.87</v>
      </c>
      <c r="I68" s="27">
        <f t="shared" si="3"/>
        <v>0</v>
      </c>
      <c r="J68" s="27">
        <f>Bilanca!I76</f>
        <v>126811407</v>
      </c>
      <c r="K68" s="27">
        <f>Bilanca!J76</f>
        <v>129789977</v>
      </c>
    </row>
    <row r="69" spans="1:11" ht="12.75">
      <c r="A69" s="4" t="s">
        <v>927</v>
      </c>
      <c r="B69" s="25">
        <f>TRIM(RefStr!M46)</f>
      </c>
      <c r="D69" s="4" t="s">
        <v>554</v>
      </c>
      <c r="E69" s="4">
        <v>1</v>
      </c>
      <c r="F69" s="4">
        <f>Bilanca!G77</f>
        <v>68</v>
      </c>
      <c r="G69" s="4">
        <f>IF(Bilanca!H77=0,"",Bilanca!H77)</f>
      </c>
      <c r="H69" s="26">
        <f t="shared" si="2"/>
        <v>0</v>
      </c>
      <c r="I69" s="27">
        <f t="shared" si="3"/>
        <v>0</v>
      </c>
      <c r="J69" s="27">
        <f>Bilanca!I77</f>
        <v>0</v>
      </c>
      <c r="K69" s="27">
        <f>Bilanca!J77</f>
        <v>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225201062.12</v>
      </c>
      <c r="I77" s="27">
        <f t="shared" si="3"/>
        <v>0</v>
      </c>
      <c r="J77" s="27">
        <f>Bilanca!I85</f>
        <v>99025147</v>
      </c>
      <c r="K77" s="27">
        <f>Bilanca!J85</f>
        <v>98646020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67489195.72</v>
      </c>
      <c r="I84" s="27">
        <f t="shared" si="3"/>
        <v>0</v>
      </c>
      <c r="J84" s="27">
        <f>Bilanca!I92</f>
        <v>25739210</v>
      </c>
      <c r="K84" s="27">
        <f>Bilanca!J92</f>
        <v>27786537</v>
      </c>
    </row>
    <row r="85" spans="4:11" ht="12.75">
      <c r="D85" s="4" t="s">
        <v>554</v>
      </c>
      <c r="E85" s="4">
        <v>1</v>
      </c>
      <c r="F85" s="4">
        <f>Bilanca!G93</f>
        <v>84</v>
      </c>
      <c r="G85" s="4">
        <f>IF(Bilanca!H93=0,"",Bilanca!H93)</f>
      </c>
      <c r="H85" s="26">
        <f t="shared" si="2"/>
        <v>68302318.56</v>
      </c>
      <c r="I85" s="27">
        <f t="shared" si="3"/>
        <v>0</v>
      </c>
      <c r="J85" s="27">
        <f>Bilanca!I93</f>
        <v>25739210</v>
      </c>
      <c r="K85" s="27">
        <f>Bilanca!J93</f>
        <v>27786537</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7535225.399999999</v>
      </c>
      <c r="I87" s="27">
        <f>ABS(ROUND(J87,0)-J87)+ABS(ROUND(K87,0)-K87)</f>
        <v>0</v>
      </c>
      <c r="J87" s="27">
        <f>Bilanca!I95</f>
        <v>2047050</v>
      </c>
      <c r="K87" s="27">
        <f>Bilanca!J95</f>
        <v>3357420</v>
      </c>
    </row>
    <row r="88" spans="4:11" ht="12.75">
      <c r="D88" s="4" t="s">
        <v>554</v>
      </c>
      <c r="E88" s="4">
        <v>1</v>
      </c>
      <c r="F88" s="4">
        <f>Bilanca!G96</f>
        <v>87</v>
      </c>
      <c r="G88" s="4">
        <f>IF(Bilanca!H96=0,"",Bilanca!H96)</f>
      </c>
      <c r="H88" s="26">
        <f>J88/100*F88+2*K88/100*F88</f>
        <v>7622844.3</v>
      </c>
      <c r="I88" s="27">
        <f>ABS(ROUND(J88,0)-J88)+ABS(ROUND(K88,0)-K88)</f>
        <v>0</v>
      </c>
      <c r="J88" s="27">
        <f>Bilanca!I96</f>
        <v>2047050</v>
      </c>
      <c r="K88" s="27">
        <f>Bilanca!J96</f>
        <v>3357420</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14084530.95</v>
      </c>
      <c r="I98" s="27">
        <f t="shared" si="5"/>
        <v>0</v>
      </c>
      <c r="J98" s="27">
        <f>Bilanca!I106</f>
        <v>5173449</v>
      </c>
      <c r="K98" s="27">
        <f>Bilanca!J106</f>
        <v>4673343</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2532287.96</v>
      </c>
      <c r="I104" s="27">
        <f t="shared" si="5"/>
        <v>0</v>
      </c>
      <c r="J104" s="27">
        <f>Bilanca!I112</f>
        <v>1042550</v>
      </c>
      <c r="K104" s="27">
        <f>Bilanca!J112</f>
        <v>707991</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3036546.58</v>
      </c>
      <c r="I108" s="27">
        <f t="shared" si="5"/>
        <v>0</v>
      </c>
      <c r="J108" s="27">
        <f>Bilanca!I116</f>
        <v>1046468</v>
      </c>
      <c r="K108" s="27">
        <f>Bilanca!J116</f>
        <v>895713</v>
      </c>
    </row>
    <row r="109" spans="4:11" ht="12.75">
      <c r="D109" s="4" t="s">
        <v>554</v>
      </c>
      <c r="E109" s="4">
        <v>1</v>
      </c>
      <c r="F109" s="4">
        <f>Bilanca!G117</f>
        <v>108</v>
      </c>
      <c r="G109" s="4">
        <f>IF(Bilanca!H117=0,"",Bilanca!H117)</f>
      </c>
      <c r="H109" s="26">
        <f t="shared" si="4"/>
        <v>9961605.72</v>
      </c>
      <c r="I109" s="27">
        <f t="shared" si="5"/>
        <v>0</v>
      </c>
      <c r="J109" s="27">
        <f>Bilanca!I117</f>
        <v>3084431</v>
      </c>
      <c r="K109" s="27">
        <f>Bilanca!J117</f>
        <v>3069639</v>
      </c>
    </row>
    <row r="110" spans="4:11" ht="12.75">
      <c r="D110" s="4" t="s">
        <v>554</v>
      </c>
      <c r="E110" s="4">
        <v>1</v>
      </c>
      <c r="F110" s="4">
        <f>Bilanca!G118</f>
        <v>109</v>
      </c>
      <c r="G110" s="4">
        <f>IF(Bilanca!H118=0,"",Bilanca!H118)</f>
      </c>
      <c r="H110" s="26">
        <f t="shared" si="4"/>
        <v>78318745.4</v>
      </c>
      <c r="I110" s="27">
        <f t="shared" si="5"/>
        <v>0</v>
      </c>
      <c r="J110" s="27">
        <f>Bilanca!I118</f>
        <v>21640242</v>
      </c>
      <c r="K110" s="27">
        <f>Bilanca!J118</f>
        <v>25105909</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4180250</v>
      </c>
      <c r="I116" s="27">
        <f t="shared" si="5"/>
        <v>0</v>
      </c>
      <c r="J116" s="27">
        <f>Bilanca!I124</f>
        <v>3635000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71532312.93</v>
      </c>
      <c r="I118" s="27">
        <f t="shared" si="5"/>
        <v>0</v>
      </c>
      <c r="J118" s="27">
        <f>Bilanca!I126</f>
        <v>15780317</v>
      </c>
      <c r="K118" s="27">
        <f>Bilanca!J126</f>
        <v>22679206</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4258863.63</v>
      </c>
      <c r="I120" s="27">
        <f t="shared" si="5"/>
        <v>0</v>
      </c>
      <c r="J120" s="27">
        <f>Bilanca!I128</f>
        <v>1098331</v>
      </c>
      <c r="K120" s="27">
        <f>Bilanca!J128</f>
        <v>1240273</v>
      </c>
    </row>
    <row r="121" spans="4:11" ht="12.75">
      <c r="D121" s="4" t="s">
        <v>554</v>
      </c>
      <c r="E121" s="4">
        <v>1</v>
      </c>
      <c r="F121" s="4">
        <f>Bilanca!G129</f>
        <v>120</v>
      </c>
      <c r="G121" s="4">
        <f>IF(Bilanca!H129=0,"",Bilanca!H129)</f>
      </c>
      <c r="H121" s="26">
        <f t="shared" si="4"/>
        <v>4199344.8</v>
      </c>
      <c r="I121" s="27">
        <f t="shared" si="5"/>
        <v>0</v>
      </c>
      <c r="J121" s="27">
        <f>Bilanca!I129</f>
        <v>1126594</v>
      </c>
      <c r="K121" s="27">
        <f>Bilanca!J129</f>
        <v>1186430</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32631169.159999996</v>
      </c>
      <c r="I125" s="27">
        <f t="shared" si="5"/>
        <v>0</v>
      </c>
      <c r="J125" s="27">
        <f>Bilanca!I133</f>
        <v>8805315</v>
      </c>
      <c r="K125" s="27">
        <f>Bilanca!J133</f>
        <v>8755072</v>
      </c>
    </row>
    <row r="126" spans="4:11" ht="12.75">
      <c r="D126" s="4" t="s">
        <v>554</v>
      </c>
      <c r="E126" s="4">
        <v>1</v>
      </c>
      <c r="F126" s="4">
        <f>Bilanca!G134</f>
        <v>125</v>
      </c>
      <c r="G126" s="4">
        <f>IF(Bilanca!H134=0,"",Bilanca!H134)</f>
      </c>
      <c r="H126" s="26">
        <f t="shared" si="4"/>
        <v>623848768.75</v>
      </c>
      <c r="I126" s="27">
        <f t="shared" si="5"/>
        <v>0</v>
      </c>
      <c r="J126" s="27">
        <f>Bilanca!I134</f>
        <v>162430413</v>
      </c>
      <c r="K126" s="27">
        <f>Bilanca!J134</f>
        <v>168324301</v>
      </c>
    </row>
    <row r="127" spans="4:11" ht="12.75">
      <c r="D127" s="4" t="s">
        <v>554</v>
      </c>
      <c r="E127" s="4">
        <v>1</v>
      </c>
      <c r="F127" s="4">
        <f>Bilanca!G135</f>
        <v>126</v>
      </c>
      <c r="G127" s="4">
        <f>IF(Bilanca!H135=0,"",Bilanca!H135)</f>
      </c>
      <c r="H127" s="26">
        <f t="shared" si="4"/>
        <v>7439.04</v>
      </c>
      <c r="I127" s="27">
        <f t="shared" si="5"/>
        <v>0</v>
      </c>
      <c r="J127" s="27">
        <f>Bilanca!I135</f>
        <v>5744</v>
      </c>
      <c r="K127" s="27">
        <f>Bilanca!J135</f>
        <v>80</v>
      </c>
    </row>
    <row r="128" spans="4:11" ht="12.75">
      <c r="D128" s="4" t="s">
        <v>794</v>
      </c>
      <c r="E128" s="4">
        <v>2</v>
      </c>
      <c r="F128" s="4">
        <f>RDG!G8</f>
        <v>127</v>
      </c>
      <c r="G128" s="4">
        <f>IF(RDG!H8=0,"",RDG!H8)</f>
      </c>
      <c r="H128" s="26">
        <f t="shared" si="4"/>
        <v>414272569.98</v>
      </c>
      <c r="I128" s="4">
        <f t="shared" si="5"/>
        <v>0</v>
      </c>
      <c r="J128" s="27">
        <f>RDG!I8</f>
        <v>98028742</v>
      </c>
      <c r="K128" s="27">
        <f>RDG!J8</f>
        <v>114085066</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357792303.75</v>
      </c>
      <c r="I130" s="4">
        <f aca="true" t="shared" si="7" ref="I130:I192">ABS(ROUND(J130,0)-J130)+ABS(ROUND(K130,0)-K130)</f>
        <v>0</v>
      </c>
      <c r="J130" s="27">
        <f>RDG!I10</f>
        <v>82231509</v>
      </c>
      <c r="K130" s="27">
        <f>RDG!J10</f>
        <v>97563433</v>
      </c>
    </row>
    <row r="131" spans="4:11" ht="12.75">
      <c r="D131" s="4" t="s">
        <v>794</v>
      </c>
      <c r="E131" s="4">
        <v>2</v>
      </c>
      <c r="F131" s="4">
        <f>RDG!G11</f>
        <v>130</v>
      </c>
      <c r="G131" s="4">
        <f>IF(RDG!H11=0,"",RDG!H11)</f>
      </c>
      <c r="H131" s="26">
        <f t="shared" si="6"/>
        <v>308139</v>
      </c>
      <c r="I131" s="4">
        <f t="shared" si="7"/>
        <v>0</v>
      </c>
      <c r="J131" s="27">
        <f>RDG!I11</f>
        <v>85996</v>
      </c>
      <c r="K131" s="27">
        <f>RDG!J11</f>
        <v>75517</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64156579.08</v>
      </c>
      <c r="I133" s="4">
        <f t="shared" si="7"/>
        <v>0</v>
      </c>
      <c r="J133" s="27">
        <f>RDG!I13</f>
        <v>15711237</v>
      </c>
      <c r="K133" s="27">
        <f>RDG!J13</f>
        <v>16446116</v>
      </c>
    </row>
    <row r="134" spans="4:11" ht="12.75">
      <c r="D134" s="4" t="s">
        <v>794</v>
      </c>
      <c r="E134" s="4">
        <v>2</v>
      </c>
      <c r="F134" s="4">
        <f>RDG!G14</f>
        <v>133</v>
      </c>
      <c r="G134" s="4">
        <f>IF(RDG!H14=0,"",RDG!H14)</f>
      </c>
      <c r="H134" s="26">
        <f t="shared" si="6"/>
        <v>418601541.33</v>
      </c>
      <c r="I134" s="4">
        <f t="shared" si="7"/>
        <v>0</v>
      </c>
      <c r="J134" s="27">
        <f>RDG!I14</f>
        <v>95263093</v>
      </c>
      <c r="K134" s="27">
        <f>RDG!J14</f>
        <v>109737454</v>
      </c>
    </row>
    <row r="135" spans="4:11" ht="12.75">
      <c r="D135" s="4" t="s">
        <v>794</v>
      </c>
      <c r="E135" s="4">
        <v>2</v>
      </c>
      <c r="F135" s="4">
        <f>RDG!G15</f>
        <v>134</v>
      </c>
      <c r="G135" s="4">
        <f>IF(RDG!H15=0,"",RDG!H15)</f>
      </c>
      <c r="H135" s="26">
        <f t="shared" si="6"/>
        <v>-2024902.1400000001</v>
      </c>
      <c r="I135" s="4">
        <f t="shared" si="7"/>
        <v>0</v>
      </c>
      <c r="J135" s="27">
        <f>RDG!I15</f>
        <v>1727503</v>
      </c>
      <c r="K135" s="27">
        <f>RDG!J15</f>
        <v>-1619312</v>
      </c>
    </row>
    <row r="136" spans="4:11" ht="12.75">
      <c r="D136" s="4" t="s">
        <v>794</v>
      </c>
      <c r="E136" s="4">
        <v>2</v>
      </c>
      <c r="F136" s="4">
        <f>RDG!G16</f>
        <v>135</v>
      </c>
      <c r="G136" s="4">
        <f>IF(RDG!H16=0,"",RDG!H16)</f>
      </c>
      <c r="H136" s="26">
        <f t="shared" si="6"/>
        <v>249939168.75</v>
      </c>
      <c r="I136" s="4">
        <f t="shared" si="7"/>
        <v>0</v>
      </c>
      <c r="J136" s="27">
        <f>RDG!I16</f>
        <v>52483683</v>
      </c>
      <c r="K136" s="27">
        <f>RDG!J16</f>
        <v>66328221</v>
      </c>
    </row>
    <row r="137" spans="4:11" ht="12.75">
      <c r="D137" s="4" t="s">
        <v>794</v>
      </c>
      <c r="E137" s="4">
        <v>2</v>
      </c>
      <c r="F137" s="4">
        <f>RDG!G17</f>
        <v>136</v>
      </c>
      <c r="G137" s="4">
        <f>IF(RDG!H17=0,"",RDG!H17)</f>
      </c>
      <c r="H137" s="26">
        <f t="shared" si="6"/>
        <v>38082918.56</v>
      </c>
      <c r="I137" s="4">
        <f t="shared" si="7"/>
        <v>0</v>
      </c>
      <c r="J137" s="27">
        <f>RDG!I17</f>
        <v>7796414</v>
      </c>
      <c r="K137" s="27">
        <f>RDG!J17</f>
        <v>10102866</v>
      </c>
    </row>
    <row r="138" spans="4:11" ht="12.75">
      <c r="D138" s="4" t="s">
        <v>794</v>
      </c>
      <c r="E138" s="4">
        <v>2</v>
      </c>
      <c r="F138" s="4">
        <f>RDG!G18</f>
        <v>137</v>
      </c>
      <c r="G138" s="4">
        <f>IF(RDG!H18=0,"",RDG!H18)</f>
      </c>
      <c r="H138" s="26">
        <f t="shared" si="6"/>
        <v>163293888.03</v>
      </c>
      <c r="I138" s="4">
        <f t="shared" si="7"/>
        <v>0</v>
      </c>
      <c r="J138" s="27">
        <f>RDG!I18</f>
        <v>34161555</v>
      </c>
      <c r="K138" s="27">
        <f>RDG!J18</f>
        <v>42515532</v>
      </c>
    </row>
    <row r="139" spans="4:11" ht="12.75">
      <c r="D139" s="4" t="s">
        <v>794</v>
      </c>
      <c r="E139" s="4">
        <v>2</v>
      </c>
      <c r="F139" s="4">
        <f>RDG!G19</f>
        <v>138</v>
      </c>
      <c r="G139" s="4">
        <f>IF(RDG!H19=0,"",RDG!H19)</f>
      </c>
      <c r="H139" s="26">
        <f t="shared" si="6"/>
        <v>52364596.800000004</v>
      </c>
      <c r="I139" s="4">
        <f t="shared" si="7"/>
        <v>0</v>
      </c>
      <c r="J139" s="27">
        <f>RDG!I19</f>
        <v>10525714</v>
      </c>
      <c r="K139" s="27">
        <f>RDG!J19</f>
        <v>13709823</v>
      </c>
    </row>
    <row r="140" spans="4:11" ht="12.75">
      <c r="D140" s="4" t="s">
        <v>794</v>
      </c>
      <c r="E140" s="4">
        <v>2</v>
      </c>
      <c r="F140" s="4">
        <f>RDG!G20</f>
        <v>139</v>
      </c>
      <c r="G140" s="4">
        <f>IF(RDG!H20=0,"",RDG!H20)</f>
      </c>
      <c r="H140" s="26">
        <f t="shared" si="6"/>
        <v>130716917.72</v>
      </c>
      <c r="I140" s="4">
        <f t="shared" si="7"/>
        <v>0</v>
      </c>
      <c r="J140" s="27">
        <f>RDG!I20</f>
        <v>30100024</v>
      </c>
      <c r="K140" s="27">
        <f>RDG!J20</f>
        <v>31970462</v>
      </c>
    </row>
    <row r="141" spans="4:11" ht="12.75">
      <c r="D141" s="4" t="s">
        <v>794</v>
      </c>
      <c r="E141" s="4">
        <v>2</v>
      </c>
      <c r="F141" s="4">
        <f>RDG!G21</f>
        <v>140</v>
      </c>
      <c r="G141" s="4">
        <f>IF(RDG!H21=0,"",RDG!H21)</f>
      </c>
      <c r="H141" s="26">
        <f t="shared" si="6"/>
        <v>81082498</v>
      </c>
      <c r="I141" s="4">
        <f t="shared" si="7"/>
        <v>0</v>
      </c>
      <c r="J141" s="27">
        <f>RDG!I21</f>
        <v>18632810</v>
      </c>
      <c r="K141" s="27">
        <f>RDG!J21</f>
        <v>19641630</v>
      </c>
    </row>
    <row r="142" spans="4:11" ht="12.75">
      <c r="D142" s="4" t="s">
        <v>794</v>
      </c>
      <c r="E142" s="4">
        <v>2</v>
      </c>
      <c r="F142" s="4">
        <f>RDG!G22</f>
        <v>141</v>
      </c>
      <c r="G142" s="4">
        <f>IF(RDG!H22=0,"",RDG!H22)</f>
      </c>
      <c r="H142" s="26">
        <f t="shared" si="6"/>
        <v>32281143.479999997</v>
      </c>
      <c r="I142" s="4">
        <f t="shared" si="7"/>
        <v>0</v>
      </c>
      <c r="J142" s="27">
        <f>RDG!I22</f>
        <v>7252748</v>
      </c>
      <c r="K142" s="27">
        <f>RDG!J22</f>
        <v>7820840</v>
      </c>
    </row>
    <row r="143" spans="4:11" ht="12.75">
      <c r="D143" s="4" t="s">
        <v>794</v>
      </c>
      <c r="E143" s="4">
        <v>2</v>
      </c>
      <c r="F143" s="4">
        <f>RDG!G23</f>
        <v>142</v>
      </c>
      <c r="G143" s="4">
        <f>IF(RDG!H23=0,"",RDG!H23)</f>
      </c>
      <c r="H143" s="26">
        <f t="shared" si="6"/>
        <v>18787239</v>
      </c>
      <c r="I143" s="4">
        <f t="shared" si="7"/>
        <v>0</v>
      </c>
      <c r="J143" s="27">
        <f>RDG!I23</f>
        <v>4214466</v>
      </c>
      <c r="K143" s="27">
        <f>RDG!J23</f>
        <v>4507992</v>
      </c>
    </row>
    <row r="144" spans="4:11" ht="12.75">
      <c r="D144" s="4" t="s">
        <v>794</v>
      </c>
      <c r="E144" s="4">
        <v>2</v>
      </c>
      <c r="F144" s="4">
        <f>RDG!G24</f>
        <v>143</v>
      </c>
      <c r="G144" s="4">
        <f>IF(RDG!H24=0,"",RDG!H24)</f>
      </c>
      <c r="H144" s="26">
        <f t="shared" si="6"/>
        <v>13585321.75</v>
      </c>
      <c r="I144" s="4">
        <f t="shared" si="7"/>
        <v>0</v>
      </c>
      <c r="J144" s="27">
        <f>RDG!I24</f>
        <v>3100741</v>
      </c>
      <c r="K144" s="27">
        <f>RDG!J24</f>
        <v>3199742</v>
      </c>
    </row>
    <row r="145" spans="4:11" ht="12.75">
      <c r="D145" s="4" t="s">
        <v>794</v>
      </c>
      <c r="E145" s="4">
        <v>2</v>
      </c>
      <c r="F145" s="4">
        <f>RDG!G25</f>
        <v>144</v>
      </c>
      <c r="G145" s="4">
        <f>IF(RDG!H25=0,"",RDG!H25)</f>
      </c>
      <c r="H145" s="26">
        <f t="shared" si="6"/>
        <v>20368362.240000002</v>
      </c>
      <c r="I145" s="4">
        <f t="shared" si="7"/>
        <v>0</v>
      </c>
      <c r="J145" s="27">
        <f>RDG!I25</f>
        <v>3834916</v>
      </c>
      <c r="K145" s="27">
        <f>RDG!J25</f>
        <v>5154890</v>
      </c>
    </row>
    <row r="146" spans="4:11" ht="12.75">
      <c r="D146" s="4" t="s">
        <v>794</v>
      </c>
      <c r="E146" s="4">
        <v>2</v>
      </c>
      <c r="F146" s="4">
        <f>RDG!G26</f>
        <v>145</v>
      </c>
      <c r="G146" s="4">
        <f>IF(RDG!H26=0,"",RDG!H26)</f>
      </c>
      <c r="H146" s="26">
        <f t="shared" si="6"/>
        <v>16569225.4</v>
      </c>
      <c r="I146" s="4">
        <f t="shared" si="7"/>
        <v>0</v>
      </c>
      <c r="J146" s="27">
        <f>RDG!I26</f>
        <v>3765656</v>
      </c>
      <c r="K146" s="27">
        <f>RDG!J26</f>
        <v>3830698</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16797766.44</v>
      </c>
      <c r="I148" s="4">
        <f t="shared" si="7"/>
        <v>0</v>
      </c>
      <c r="J148" s="27">
        <f>RDG!I28</f>
        <v>3765656</v>
      </c>
      <c r="K148" s="27">
        <f>RDG!J28</f>
        <v>3830698</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3093917.8000000003</v>
      </c>
      <c r="I156" s="4">
        <f t="shared" si="7"/>
        <v>0</v>
      </c>
      <c r="J156" s="27">
        <f>RDG!I36</f>
        <v>250570</v>
      </c>
      <c r="K156" s="27">
        <f>RDG!J36</f>
        <v>872753</v>
      </c>
    </row>
    <row r="157" spans="4:11" ht="12.75">
      <c r="D157" s="4" t="s">
        <v>794</v>
      </c>
      <c r="E157" s="4">
        <v>2</v>
      </c>
      <c r="F157" s="4">
        <f>RDG!G37</f>
        <v>156</v>
      </c>
      <c r="G157" s="4">
        <f>IF(RDG!H37=0,"",RDG!H37)</f>
      </c>
      <c r="H157" s="26">
        <f t="shared" si="6"/>
        <v>501741.24000000005</v>
      </c>
      <c r="I157" s="4">
        <f t="shared" si="7"/>
        <v>0</v>
      </c>
      <c r="J157" s="27">
        <f>RDG!I37</f>
        <v>72151</v>
      </c>
      <c r="K157" s="27">
        <f>RDG!J37</f>
        <v>124739</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26295.16</v>
      </c>
      <c r="I164" s="4">
        <f t="shared" si="7"/>
        <v>0</v>
      </c>
      <c r="J164" s="27">
        <f>RDG!I44</f>
        <v>10432</v>
      </c>
      <c r="K164" s="27">
        <f>RDG!J44</f>
        <v>2850</v>
      </c>
    </row>
    <row r="165" spans="4:11" ht="12.75">
      <c r="D165" s="4" t="s">
        <v>794</v>
      </c>
      <c r="E165" s="4">
        <v>2</v>
      </c>
      <c r="F165" s="4">
        <f>RDG!G45</f>
        <v>164</v>
      </c>
      <c r="G165" s="4">
        <f>IF(RDG!H45=0,"",RDG!H45)</f>
      </c>
      <c r="H165" s="26">
        <f t="shared" si="6"/>
        <v>501015.0800000001</v>
      </c>
      <c r="I165" s="4">
        <f t="shared" si="7"/>
        <v>0</v>
      </c>
      <c r="J165" s="27">
        <f>RDG!I45</f>
        <v>61719</v>
      </c>
      <c r="K165" s="27">
        <f>RDG!J45</f>
        <v>121889</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1231546.51</v>
      </c>
      <c r="I168" s="4">
        <f t="shared" si="7"/>
        <v>0</v>
      </c>
      <c r="J168" s="27">
        <f>RDG!I48</f>
        <v>262405</v>
      </c>
      <c r="K168" s="27">
        <f>RDG!J48</f>
        <v>237524</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236884.8</v>
      </c>
      <c r="I171" s="4">
        <f t="shared" si="7"/>
        <v>0</v>
      </c>
      <c r="J171" s="27">
        <f>RDG!I51</f>
        <v>44166</v>
      </c>
      <c r="K171" s="27">
        <f>RDG!J51</f>
        <v>47589</v>
      </c>
    </row>
    <row r="172" spans="4:11" ht="12.75">
      <c r="D172" s="4" t="s">
        <v>794</v>
      </c>
      <c r="E172" s="4">
        <v>2</v>
      </c>
      <c r="F172" s="4">
        <f>RDG!G52</f>
        <v>171</v>
      </c>
      <c r="G172" s="4">
        <f>IF(RDG!H52=0,"",RDG!H52)</f>
      </c>
      <c r="H172" s="26">
        <f t="shared" si="6"/>
        <v>1022766.3899999999</v>
      </c>
      <c r="I172" s="4">
        <f t="shared" si="7"/>
        <v>0</v>
      </c>
      <c r="J172" s="27">
        <f>RDG!I52</f>
        <v>218239</v>
      </c>
      <c r="K172" s="27">
        <f>RDG!J52</f>
        <v>189935</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584471700.37</v>
      </c>
      <c r="I180" s="4">
        <f t="shared" si="7"/>
        <v>0</v>
      </c>
      <c r="J180" s="27">
        <f>RDG!I60</f>
        <v>98100893</v>
      </c>
      <c r="K180" s="27">
        <f>RDG!J60</f>
        <v>114209805</v>
      </c>
    </row>
    <row r="181" spans="4:11" ht="12.75">
      <c r="D181" s="4" t="s">
        <v>794</v>
      </c>
      <c r="E181" s="4">
        <v>2</v>
      </c>
      <c r="F181" s="4">
        <f>RDG!G61</f>
        <v>180</v>
      </c>
      <c r="G181" s="4">
        <f>IF(RDG!H61=0,"",RDG!H61)</f>
      </c>
      <c r="H181" s="26">
        <f t="shared" si="6"/>
        <v>567855817.2</v>
      </c>
      <c r="I181" s="4">
        <f t="shared" si="7"/>
        <v>0</v>
      </c>
      <c r="J181" s="27">
        <f>RDG!I61</f>
        <v>95525498</v>
      </c>
      <c r="K181" s="27">
        <f>RDG!J61</f>
        <v>109974978</v>
      </c>
    </row>
    <row r="182" spans="4:11" ht="12.75">
      <c r="D182" s="4" t="s">
        <v>794</v>
      </c>
      <c r="E182" s="4">
        <v>2</v>
      </c>
      <c r="F182" s="4">
        <f>RDG!G62</f>
        <v>181</v>
      </c>
      <c r="G182" s="4">
        <f>IF(RDG!H62=0,"",RDG!H62)</f>
      </c>
      <c r="H182" s="26">
        <f t="shared" si="6"/>
        <v>19991538.689999998</v>
      </c>
      <c r="I182" s="4">
        <f t="shared" si="7"/>
        <v>0</v>
      </c>
      <c r="J182" s="27">
        <f>RDG!I62</f>
        <v>2575395</v>
      </c>
      <c r="K182" s="27">
        <f>RDG!J62</f>
        <v>4234827</v>
      </c>
    </row>
    <row r="183" spans="4:11" ht="12.75">
      <c r="D183" s="4" t="s">
        <v>794</v>
      </c>
      <c r="E183" s="4">
        <v>2</v>
      </c>
      <c r="F183" s="4">
        <f>RDG!G63</f>
        <v>182</v>
      </c>
      <c r="G183" s="4">
        <f>IF(RDG!H63=0,"",RDG!H63)</f>
      </c>
      <c r="H183" s="26">
        <f t="shared" si="6"/>
        <v>20101989.18</v>
      </c>
      <c r="I183" s="4">
        <f t="shared" si="7"/>
        <v>0</v>
      </c>
      <c r="J183" s="27">
        <f>RDG!I63</f>
        <v>2575395</v>
      </c>
      <c r="K183" s="27">
        <f>RDG!J63</f>
        <v>4234827</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4201012.56</v>
      </c>
      <c r="I185" s="4">
        <f t="shared" si="7"/>
        <v>0</v>
      </c>
      <c r="J185" s="27">
        <f>RDG!I65</f>
        <v>528345</v>
      </c>
      <c r="K185" s="27">
        <f>RDG!J65</f>
        <v>877407</v>
      </c>
    </row>
    <row r="186" spans="4:11" ht="12.75">
      <c r="D186" s="4" t="s">
        <v>794</v>
      </c>
      <c r="E186" s="4">
        <v>2</v>
      </c>
      <c r="F186" s="4">
        <f>RDG!G66</f>
        <v>185</v>
      </c>
      <c r="G186" s="4">
        <f>IF(RDG!H66=0,"",RDG!H66)</f>
      </c>
      <c r="H186" s="26">
        <f t="shared" si="6"/>
        <v>16209496.499999998</v>
      </c>
      <c r="I186" s="4">
        <f t="shared" si="7"/>
        <v>0</v>
      </c>
      <c r="J186" s="27">
        <f>RDG!I66</f>
        <v>2047050</v>
      </c>
      <c r="K186" s="27">
        <f>RDG!J66</f>
        <v>3357420</v>
      </c>
    </row>
    <row r="187" spans="4:11" ht="12.75">
      <c r="D187" s="4" t="s">
        <v>794</v>
      </c>
      <c r="E187" s="4">
        <v>2</v>
      </c>
      <c r="F187" s="4">
        <f>RDG!G67</f>
        <v>186</v>
      </c>
      <c r="G187" s="4">
        <f>IF(RDG!H67=0,"",RDG!H67)</f>
      </c>
      <c r="H187" s="26">
        <f t="shared" si="6"/>
        <v>16297115.399999999</v>
      </c>
      <c r="I187" s="4">
        <f t="shared" si="7"/>
        <v>0</v>
      </c>
      <c r="J187" s="27">
        <f>RDG!I67</f>
        <v>2047050</v>
      </c>
      <c r="K187" s="27">
        <f>RDG!J67</f>
        <v>3357420</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663788841.6800001</v>
      </c>
      <c r="I249" s="4">
        <f t="shared" si="13"/>
        <v>0</v>
      </c>
      <c r="J249" s="27">
        <f>Dodatni!I32</f>
        <v>78527715</v>
      </c>
      <c r="K249" s="27">
        <f>Dodatni!J32</f>
        <v>94564538</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24350975.840000004</v>
      </c>
      <c r="I252" s="4">
        <f t="shared" si="13"/>
        <v>0</v>
      </c>
      <c r="J252" s="27">
        <f>Dodatni!I35</f>
        <v>3703794</v>
      </c>
      <c r="K252" s="27">
        <f>Dodatni!J35</f>
        <v>2998895</v>
      </c>
    </row>
    <row r="253" spans="4:11" ht="12.75">
      <c r="D253" s="4" t="s">
        <v>555</v>
      </c>
      <c r="E253" s="4">
        <v>3</v>
      </c>
      <c r="F253" s="4">
        <f>Dodatni!H37</f>
        <v>252</v>
      </c>
      <c r="H253" s="26">
        <f t="shared" si="12"/>
        <v>462010507.55999994</v>
      </c>
      <c r="I253" s="4">
        <f t="shared" si="13"/>
        <v>0</v>
      </c>
      <c r="J253" s="27">
        <f>Dodatni!I37</f>
        <v>52448061</v>
      </c>
      <c r="K253" s="27">
        <f>Dodatni!J37</f>
        <v>65444721</v>
      </c>
    </row>
    <row r="254" spans="4:11" ht="12.75">
      <c r="D254" s="4" t="s">
        <v>555</v>
      </c>
      <c r="E254" s="4">
        <v>3</v>
      </c>
      <c r="F254" s="4">
        <f>Dodatni!H38</f>
        <v>253</v>
      </c>
      <c r="H254" s="26">
        <f t="shared" si="12"/>
        <v>237872806.16</v>
      </c>
      <c r="I254" s="4">
        <f t="shared" si="13"/>
        <v>0</v>
      </c>
      <c r="J254" s="27">
        <f>Dodatni!I38</f>
        <v>29783448</v>
      </c>
      <c r="K254" s="27">
        <f>Dodatni!J38</f>
        <v>32118712</v>
      </c>
    </row>
    <row r="255" spans="4:11" ht="12.75">
      <c r="D255" s="4" t="s">
        <v>555</v>
      </c>
      <c r="E255" s="4">
        <v>3</v>
      </c>
      <c r="F255" s="4">
        <f>Dodatni!H40</f>
        <v>254</v>
      </c>
      <c r="H255" s="26">
        <f t="shared" si="12"/>
        <v>602056.2</v>
      </c>
      <c r="I255" s="4">
        <f t="shared" si="13"/>
        <v>0</v>
      </c>
      <c r="J255" s="27">
        <f>Dodatni!I40</f>
        <v>85996</v>
      </c>
      <c r="K255" s="27">
        <f>Dodatni!J40</f>
        <v>75517</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104228815.36000001</v>
      </c>
      <c r="I257" s="4">
        <f t="shared" si="13"/>
        <v>0</v>
      </c>
      <c r="J257" s="27">
        <f>Dodatni!I43</f>
        <v>13250723</v>
      </c>
      <c r="K257" s="27">
        <f>Dodatni!J43</f>
        <v>13731829</v>
      </c>
    </row>
    <row r="258" spans="4:11" ht="12.75">
      <c r="D258" s="4" t="s">
        <v>555</v>
      </c>
      <c r="E258" s="4">
        <v>3</v>
      </c>
      <c r="F258" s="4">
        <f>Dodatni!H44</f>
        <v>257</v>
      </c>
      <c r="H258" s="26">
        <f t="shared" si="12"/>
        <v>11484291.72</v>
      </c>
      <c r="I258" s="4">
        <f t="shared" si="13"/>
        <v>0</v>
      </c>
      <c r="J258" s="27">
        <f>Dodatni!I44</f>
        <v>1494006</v>
      </c>
      <c r="K258" s="27">
        <f>Dodatni!J44</f>
        <v>1487295</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19404770.62</v>
      </c>
      <c r="I263" s="4">
        <f t="shared" si="13"/>
        <v>0</v>
      </c>
      <c r="J263" s="27">
        <f>Dodatni!I50</f>
        <v>1714921</v>
      </c>
      <c r="K263" s="27">
        <f>Dodatni!J50</f>
        <v>2845740</v>
      </c>
    </row>
    <row r="264" spans="4:11" ht="12.75">
      <c r="D264" s="4" t="s">
        <v>555</v>
      </c>
      <c r="E264" s="4">
        <v>3</v>
      </c>
      <c r="F264" s="4">
        <f>Dodatni!H51</f>
        <v>263</v>
      </c>
      <c r="H264" s="26">
        <f t="shared" si="12"/>
        <v>1336071.56</v>
      </c>
      <c r="I264" s="4">
        <f t="shared" si="13"/>
        <v>0</v>
      </c>
      <c r="J264" s="27">
        <f>Dodatni!I51</f>
        <v>110938</v>
      </c>
      <c r="K264" s="27">
        <f>Dodatni!J51</f>
        <v>198537</v>
      </c>
    </row>
    <row r="265" spans="4:11" ht="12.75">
      <c r="D265" s="4" t="s">
        <v>555</v>
      </c>
      <c r="E265" s="4">
        <v>3</v>
      </c>
      <c r="F265" s="4">
        <f>Dodatni!H52</f>
        <v>264</v>
      </c>
      <c r="H265" s="26">
        <f t="shared" si="12"/>
        <v>314668514.16</v>
      </c>
      <c r="I265" s="4">
        <f t="shared" si="13"/>
        <v>0</v>
      </c>
      <c r="J265" s="27">
        <f>Dodatni!I52</f>
        <v>34161555</v>
      </c>
      <c r="K265" s="27">
        <f>Dodatni!J52</f>
        <v>42515532</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2182855.83</v>
      </c>
      <c r="I268" s="4">
        <f t="shared" si="13"/>
        <v>0</v>
      </c>
      <c r="J268" s="27">
        <f>Dodatni!I55</f>
        <v>165079</v>
      </c>
      <c r="K268" s="27">
        <f>Dodatni!J55</f>
        <v>326235</v>
      </c>
    </row>
    <row r="269" spans="4:11" ht="12.75">
      <c r="D269" s="4" t="s">
        <v>555</v>
      </c>
      <c r="E269" s="4">
        <v>3</v>
      </c>
      <c r="F269" s="4">
        <f>Dodatni!H56</f>
        <v>268</v>
      </c>
      <c r="H269" s="26">
        <f t="shared" si="12"/>
        <v>3905006.5599999996</v>
      </c>
      <c r="I269" s="4">
        <f t="shared" si="13"/>
        <v>0</v>
      </c>
      <c r="J269" s="27">
        <f>Dodatni!I56</f>
        <v>480012</v>
      </c>
      <c r="K269" s="27">
        <f>Dodatni!J56</f>
        <v>488540</v>
      </c>
    </row>
    <row r="270" spans="4:11" ht="12.75">
      <c r="D270" s="4" t="s">
        <v>555</v>
      </c>
      <c r="E270" s="4">
        <v>3</v>
      </c>
      <c r="F270" s="4">
        <f>Dodatni!H57</f>
        <v>269</v>
      </c>
      <c r="H270" s="26">
        <f t="shared" si="12"/>
        <v>398545.02</v>
      </c>
      <c r="I270" s="4">
        <f t="shared" si="13"/>
        <v>0</v>
      </c>
      <c r="J270" s="27">
        <f>Dodatni!I57</f>
        <v>42278</v>
      </c>
      <c r="K270" s="27">
        <f>Dodatni!J57</f>
        <v>52940</v>
      </c>
    </row>
    <row r="271" spans="4:11" ht="12.75">
      <c r="D271" s="4" t="s">
        <v>555</v>
      </c>
      <c r="E271" s="4">
        <v>3</v>
      </c>
      <c r="F271" s="4">
        <f>Dodatni!H58</f>
        <v>270</v>
      </c>
      <c r="H271" s="26">
        <f t="shared" si="12"/>
        <v>5388865.2</v>
      </c>
      <c r="I271" s="4">
        <f t="shared" si="13"/>
        <v>0</v>
      </c>
      <c r="J271" s="27">
        <f>Dodatni!I58</f>
        <v>567848</v>
      </c>
      <c r="K271" s="27">
        <f>Dodatni!J58</f>
        <v>714014</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2809327.52</v>
      </c>
      <c r="I273" s="4">
        <f t="shared" si="13"/>
        <v>0</v>
      </c>
      <c r="J273" s="27">
        <f>Dodatni!I60</f>
        <v>337899</v>
      </c>
      <c r="K273" s="27">
        <f>Dodatni!J60</f>
        <v>347471</v>
      </c>
    </row>
    <row r="274" spans="4:11" ht="12.75">
      <c r="D274" s="4" t="s">
        <v>555</v>
      </c>
      <c r="E274" s="4">
        <v>3</v>
      </c>
      <c r="F274" s="4">
        <f>Dodatni!H61</f>
        <v>273</v>
      </c>
      <c r="H274" s="26">
        <f t="shared" si="12"/>
        <v>2485340.13</v>
      </c>
      <c r="I274" s="4">
        <f t="shared" si="13"/>
        <v>0</v>
      </c>
      <c r="J274" s="27">
        <f>Dodatni!I61</f>
        <v>227899</v>
      </c>
      <c r="K274" s="27">
        <f>Dodatni!J61</f>
        <v>341241</v>
      </c>
    </row>
    <row r="275" spans="4:11" ht="12.75">
      <c r="D275" s="4" t="s">
        <v>555</v>
      </c>
      <c r="E275" s="4">
        <v>3</v>
      </c>
      <c r="F275" s="4">
        <f>Dodatni!H62</f>
        <v>274</v>
      </c>
      <c r="H275" s="26">
        <f t="shared" si="12"/>
        <v>4165575.42</v>
      </c>
      <c r="I275" s="4">
        <f t="shared" si="13"/>
        <v>0</v>
      </c>
      <c r="J275" s="27">
        <f>Dodatni!I62</f>
        <v>669383</v>
      </c>
      <c r="K275" s="27">
        <f>Dodatni!J62</f>
        <v>425450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1517853.72</v>
      </c>
      <c r="I277" s="4">
        <f t="shared" si="13"/>
        <v>0</v>
      </c>
      <c r="J277" s="27">
        <f>Dodatni!I64</f>
        <v>179739</v>
      </c>
      <c r="K277" s="27">
        <f>Dodatni!J64</f>
        <v>185104</v>
      </c>
    </row>
    <row r="278" spans="4:11" ht="12.75">
      <c r="D278" s="4" t="s">
        <v>555</v>
      </c>
      <c r="E278" s="4">
        <v>3</v>
      </c>
      <c r="F278" s="4">
        <f>Dodatni!H65</f>
        <v>277</v>
      </c>
      <c r="H278" s="26">
        <f t="shared" si="12"/>
        <v>18004756.240000002</v>
      </c>
      <c r="I278" s="4">
        <f t="shared" si="13"/>
        <v>0</v>
      </c>
      <c r="J278" s="27">
        <f>Dodatni!I65</f>
        <v>1942154</v>
      </c>
      <c r="K278" s="27">
        <f>Dodatni!J65</f>
        <v>2278879</v>
      </c>
    </row>
    <row r="279" spans="4:11" ht="12.75">
      <c r="D279" s="4" t="s">
        <v>555</v>
      </c>
      <c r="E279" s="4">
        <v>3</v>
      </c>
      <c r="F279" s="4">
        <f>Dodatni!H66</f>
        <v>278</v>
      </c>
      <c r="H279" s="26">
        <f t="shared" si="12"/>
        <v>366971.12</v>
      </c>
      <c r="I279" s="4">
        <f t="shared" si="13"/>
        <v>0</v>
      </c>
      <c r="J279" s="27">
        <f>Dodatni!I66</f>
        <v>24000</v>
      </c>
      <c r="K279" s="27">
        <f>Dodatni!J66</f>
        <v>54002</v>
      </c>
    </row>
    <row r="280" spans="4:11" ht="12.75">
      <c r="D280" s="4" t="s">
        <v>555</v>
      </c>
      <c r="E280" s="4">
        <v>3</v>
      </c>
      <c r="F280" s="4">
        <f>Dodatni!H67</f>
        <v>279</v>
      </c>
      <c r="H280" s="26">
        <f t="shared" si="12"/>
        <v>1988396.7299999997</v>
      </c>
      <c r="I280" s="4">
        <f t="shared" si="13"/>
        <v>0</v>
      </c>
      <c r="J280" s="27">
        <f>Dodatni!I67</f>
        <v>240797</v>
      </c>
      <c r="K280" s="27">
        <f>Dodatni!J67</f>
        <v>235945</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32117058.96</v>
      </c>
      <c r="I283" s="4">
        <f t="shared" si="13"/>
        <v>0</v>
      </c>
      <c r="J283" s="27">
        <f>Dodatni!I70</f>
        <v>3765656</v>
      </c>
      <c r="K283" s="27">
        <f>Dodatni!J70</f>
        <v>3811686</v>
      </c>
    </row>
    <row r="284" spans="4:11" ht="12.75">
      <c r="D284" s="4" t="s">
        <v>555</v>
      </c>
      <c r="E284" s="4">
        <v>3</v>
      </c>
      <c r="F284" s="4">
        <f>Dodatni!H71</f>
        <v>283</v>
      </c>
      <c r="H284" s="26">
        <f t="shared" si="12"/>
        <v>114684453.86</v>
      </c>
      <c r="I284" s="4">
        <f t="shared" si="13"/>
        <v>0</v>
      </c>
      <c r="J284" s="27">
        <f>Dodatni!I71</f>
        <v>10007524</v>
      </c>
      <c r="K284" s="27">
        <f>Dodatni!J71</f>
        <v>15258509</v>
      </c>
    </row>
    <row r="285" spans="4:11" ht="12.75">
      <c r="D285" s="4" t="s">
        <v>555</v>
      </c>
      <c r="E285" s="4">
        <v>3</v>
      </c>
      <c r="F285" s="4">
        <f>Dodatni!H73</f>
        <v>284</v>
      </c>
      <c r="H285" s="26">
        <f aca="true" t="shared" si="14" ref="H285:H294">J285/100*F285+2*K285/100*F285</f>
        <v>45814.88</v>
      </c>
      <c r="I285" s="4">
        <f aca="true" t="shared" si="15" ref="I285:I294">ABS(ROUND(J285,0)-J285)+ABS(ROUND(K285,0)-K285)</f>
        <v>0</v>
      </c>
      <c r="J285" s="27">
        <f>Dodatni!I73</f>
        <v>10432</v>
      </c>
      <c r="K285" s="27">
        <f>Dodatni!J73</f>
        <v>2850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399917.28</v>
      </c>
      <c r="I288" s="4">
        <f t="shared" si="15"/>
        <v>0</v>
      </c>
      <c r="J288" s="27">
        <f>Dodatni!I76</f>
        <v>44166</v>
      </c>
      <c r="K288" s="27">
        <f>Dodatni!J76</f>
        <v>47589</v>
      </c>
    </row>
    <row r="289" spans="4:11" ht="12.75">
      <c r="D289" s="4" t="s">
        <v>555</v>
      </c>
      <c r="E289" s="4">
        <v>3</v>
      </c>
      <c r="F289" s="4">
        <f>Dodatni!H78</f>
        <v>288</v>
      </c>
      <c r="H289" s="26">
        <f t="shared" si="14"/>
        <v>33421818.240000002</v>
      </c>
      <c r="I289" s="4">
        <f t="shared" si="15"/>
        <v>0</v>
      </c>
      <c r="J289" s="27">
        <f>Dodatni!I78</f>
        <v>4874138</v>
      </c>
      <c r="K289" s="27">
        <f>Dodatni!J78</f>
        <v>3365330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29427428.1</v>
      </c>
      <c r="I291" s="4">
        <f t="shared" si="15"/>
        <v>0</v>
      </c>
      <c r="J291" s="27">
        <f>Dodatni!I80</f>
        <v>3733221</v>
      </c>
      <c r="K291" s="27">
        <f>Dodatni!J80</f>
        <v>3207084</v>
      </c>
    </row>
    <row r="292" spans="4:11" ht="12.75">
      <c r="D292" s="4" t="s">
        <v>555</v>
      </c>
      <c r="E292" s="4">
        <v>3</v>
      </c>
      <c r="F292" s="4">
        <f>Dodatni!H81</f>
        <v>291</v>
      </c>
      <c r="H292" s="26">
        <f t="shared" si="14"/>
        <v>4241060.19</v>
      </c>
      <c r="I292" s="4">
        <f t="shared" si="15"/>
        <v>0</v>
      </c>
      <c r="J292" s="27">
        <f>Dodatni!I81</f>
        <v>1140917</v>
      </c>
      <c r="K292" s="27">
        <f>Dodatni!J81</f>
        <v>158246</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1001139.98</v>
      </c>
      <c r="I294" s="4">
        <f t="shared" si="15"/>
        <v>0</v>
      </c>
      <c r="J294" s="27">
        <f>Dodatni!I83</f>
        <v>0</v>
      </c>
      <c r="K294" s="27">
        <f>Dodatni!J83</f>
        <v>170843</v>
      </c>
    </row>
    <row r="295" spans="4:11" ht="12.75">
      <c r="D295" s="4" t="s">
        <v>555</v>
      </c>
      <c r="E295" s="4">
        <v>3</v>
      </c>
      <c r="F295" s="4">
        <f>Dodatni!H84</f>
        <v>294</v>
      </c>
      <c r="H295" s="26">
        <f aca="true" t="shared" si="16" ref="H295:H301">J295/100*F295+2*K295/100*F295</f>
        <v>25558693.02</v>
      </c>
      <c r="I295" s="4">
        <f aca="true" t="shared" si="17" ref="I295:I301">ABS(ROUND(J295,0)-J295)+ABS(ROUND(K295,0)-K295)</f>
        <v>0</v>
      </c>
      <c r="J295" s="27">
        <f>Dodatni!I84</f>
        <v>2747759</v>
      </c>
      <c r="K295" s="27">
        <f>Dodatni!J84</f>
        <v>2972837</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POLJOPRIVREDNI INSTITUT OSIJEK</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3</v>
      </c>
      <c r="T3" s="206" t="s">
        <v>614</v>
      </c>
      <c r="U3" s="224">
        <f>RefStr!L21</f>
        <v>0</v>
      </c>
      <c r="V3" s="206" t="s">
        <v>2736</v>
      </c>
      <c r="W3" s="224">
        <f>RefStr!C31</f>
        <v>31000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03665720049</v>
      </c>
      <c r="V4" s="206" t="s">
        <v>2737</v>
      </c>
      <c r="W4" s="224" t="str">
        <f>RefStr!F31</f>
        <v>OSIJEK</v>
      </c>
      <c r="X4" s="226" t="s">
        <v>1783</v>
      </c>
      <c r="Y4" s="227" t="str">
        <f>RefStr!I68</f>
        <v>NE</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1</v>
      </c>
      <c r="T5" s="206" t="s">
        <v>1560</v>
      </c>
      <c r="U5" s="224" t="str">
        <f>RefStr!H27</f>
        <v>03058239</v>
      </c>
      <c r="V5" s="206" t="s">
        <v>2738</v>
      </c>
      <c r="W5" s="224" t="str">
        <f>RefStr!C33</f>
        <v>JUŽNO PREDGRAĐE 17</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030056560</v>
      </c>
      <c r="V6" s="206" t="s">
        <v>2968</v>
      </c>
      <c r="W6" s="224" t="str">
        <f>RefStr!L35</f>
        <v>031/515-585</v>
      </c>
      <c r="X6" s="206" t="s">
        <v>2926</v>
      </c>
      <c r="Y6" s="224" t="str">
        <f>RefStr!C68</f>
        <v>ANUŠA REŠETAR</v>
      </c>
      <c r="Z6" s="206" t="s">
        <v>2952</v>
      </c>
      <c r="AA6" s="224">
        <f>RefStr!C46</f>
        <v>0</v>
      </c>
    </row>
    <row r="7" spans="1:27" ht="13.5" customHeight="1">
      <c r="A7" s="505"/>
      <c r="B7" s="506"/>
      <c r="C7" s="506"/>
      <c r="D7" s="506"/>
      <c r="E7" s="506"/>
      <c r="F7" s="506"/>
      <c r="G7" s="506"/>
      <c r="H7" s="506"/>
      <c r="I7" s="214" t="s">
        <v>211</v>
      </c>
      <c r="J7" s="216">
        <f>SUM(M12:M122)</f>
        <v>0</v>
      </c>
      <c r="N7" s="203" t="s">
        <v>795</v>
      </c>
      <c r="O7" s="206">
        <f>PK!AC1</f>
        <v>0</v>
      </c>
      <c r="P7" s="207">
        <f>PK!AC2</f>
        <v>0</v>
      </c>
      <c r="Q7" s="224">
        <f>PK!AC3</f>
        <v>0</v>
      </c>
      <c r="R7" s="206" t="s">
        <v>2969</v>
      </c>
      <c r="S7" s="224">
        <f>IF(RefStr!C44&lt;&gt;"",IF(ISERROR(INT(RefStr!C44)),0,RefStr!C44),0)</f>
        <v>10</v>
      </c>
      <c r="T7" s="206" t="s">
        <v>916</v>
      </c>
      <c r="U7" s="224">
        <f>RefStr!C7</f>
        <v>11</v>
      </c>
      <c r="V7" s="206" t="s">
        <v>2884</v>
      </c>
      <c r="W7" s="224" t="str">
        <f>TRIM(UPPER(RefStr!C35))</f>
        <v>ANUSA.RESETAR@POLJINOS.HR</v>
      </c>
      <c r="X7" s="206" t="s">
        <v>2927</v>
      </c>
      <c r="Y7" s="224" t="str">
        <f>RefStr!C70</f>
        <v>031/515/585</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Druga osoba za koje je upis propisan zakonom</v>
      </c>
      <c r="V8" s="206" t="s">
        <v>2974</v>
      </c>
      <c r="W8" s="224" t="str">
        <f>RefStr!C42</f>
        <v>7219</v>
      </c>
      <c r="X8" s="206" t="s">
        <v>2928</v>
      </c>
      <c r="Y8" s="224" t="str">
        <f>TRIM(UPPER(RefStr!C72))</f>
        <v>ANUSA.RESETAR@POLJINOS.HR</v>
      </c>
      <c r="Z8" s="228" t="s">
        <v>1780</v>
      </c>
      <c r="AA8" s="229" t="str">
        <f>RefStr!I56</f>
        <v>NE</v>
      </c>
    </row>
    <row r="9" spans="1:27" ht="13.5" customHeight="1">
      <c r="A9" s="515" t="s">
        <v>819</v>
      </c>
      <c r="B9" s="515"/>
      <c r="C9" s="515" t="s">
        <v>963</v>
      </c>
      <c r="D9" s="515"/>
      <c r="E9" s="515"/>
      <c r="F9" s="515"/>
      <c r="G9" s="515"/>
      <c r="H9" s="515"/>
      <c r="I9" s="515"/>
      <c r="J9" s="515"/>
      <c r="L9" s="190"/>
      <c r="M9" s="190"/>
      <c r="O9" s="222" t="s">
        <v>1464</v>
      </c>
      <c r="P9" s="204">
        <f>RefStr!C58</f>
        <v>164</v>
      </c>
      <c r="Q9" s="223">
        <f>RefStr!F58</f>
        <v>164</v>
      </c>
      <c r="R9" s="206" t="s">
        <v>914</v>
      </c>
      <c r="S9" s="224">
        <f>IF(RefStr!F4&lt;&gt;"",RefStr!F4,0)</f>
        <v>44926</v>
      </c>
      <c r="T9" s="206" t="s">
        <v>891</v>
      </c>
      <c r="U9" s="224">
        <f>RefStr!C39</f>
        <v>312</v>
      </c>
      <c r="V9" s="206" t="s">
        <v>2951</v>
      </c>
      <c r="W9" s="224" t="str">
        <f>RefStr!D42</f>
        <v>Ostalo istraživanje i eksperimentalni ...</v>
      </c>
      <c r="X9" s="230" t="s">
        <v>1782</v>
      </c>
      <c r="Y9" s="231" t="str">
        <f>RefStr!I66</f>
        <v>NE</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209</v>
      </c>
      <c r="Q10" s="225">
        <f>RefStr!F56</f>
        <v>210</v>
      </c>
      <c r="R10" s="208" t="s">
        <v>917</v>
      </c>
      <c r="S10" s="225">
        <f>RefStr!C23</f>
        <v>1</v>
      </c>
      <c r="T10" s="208" t="s">
        <v>2973</v>
      </c>
      <c r="U10" s="225" t="str">
        <f>RefStr!D39</f>
        <v>Osijek</v>
      </c>
      <c r="V10" s="232"/>
      <c r="W10" s="233"/>
      <c r="X10" s="234" t="s">
        <v>2279</v>
      </c>
      <c r="Y10" s="235">
        <f>RefStr!F12</f>
        <v>2022</v>
      </c>
      <c r="Z10" s="208" t="s">
        <v>1771</v>
      </c>
      <c r="AA10" s="225" t="str">
        <f>RefStr!A75</f>
        <v>ZDUNIĆ ZVONIMIR</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1</v>
      </c>
      <c r="V50" s="196">
        <f>IF(RDG!I60&gt;60000000,1,0)</f>
        <v>1</v>
      </c>
      <c r="W50" s="196">
        <f>IF(P10&gt;50,1,0)</f>
        <v>1</v>
      </c>
      <c r="X50" s="196" t="s">
        <v>2257</v>
      </c>
      <c r="Y50" s="196">
        <f>IF(Bilanca!I73&gt;150000000,1,0)</f>
        <v>1</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1</v>
      </c>
      <c r="AK50" s="196">
        <f>IF(Q10&gt;50,1,0)</f>
        <v>1</v>
      </c>
      <c r="AL50" s="196" t="s">
        <v>2257</v>
      </c>
      <c r="AM50" s="196">
        <f>IF(Bilanca!J73&gt;150000000,1,0)</f>
        <v>1</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f ca="1">CELL("filename")</f>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10" activePane="bottomLeft" state="frozen"/>
      <selection pane="topLeft" activeCell="A1" sqref="A1"/>
      <selection pane="bottomLeft" activeCell="F57" sqref="F57"/>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11</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Druga osoba za koje je upis propisan zakonom</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305823.9</v>
      </c>
    </row>
    <row r="13" spans="4:17" ht="9.75" customHeight="1">
      <c r="D13" s="152"/>
      <c r="E13" s="158"/>
      <c r="H13" s="23"/>
      <c r="I13" s="159"/>
      <c r="J13" s="159"/>
      <c r="K13" s="152"/>
      <c r="L13" s="152"/>
      <c r="M13" s="152"/>
      <c r="N13" s="152"/>
      <c r="P13" s="50" t="s">
        <v>1561</v>
      </c>
      <c r="Q13" s="51">
        <f>INT(VALUE(M27))/50</f>
        <v>601131.2</v>
      </c>
    </row>
    <row r="14" spans="1:17" ht="15">
      <c r="A14" s="377" t="s">
        <v>1312</v>
      </c>
      <c r="B14" s="377"/>
      <c r="C14" s="377"/>
      <c r="D14" s="160"/>
      <c r="E14" s="161"/>
      <c r="F14" s="375"/>
      <c r="G14" s="376"/>
      <c r="H14" s="376"/>
      <c r="I14" s="152"/>
      <c r="J14" s="367" t="s">
        <v>1978</v>
      </c>
      <c r="K14" s="368"/>
      <c r="L14" s="368"/>
      <c r="M14" s="368"/>
      <c r="N14" s="368"/>
      <c r="P14" s="50" t="s">
        <v>1316</v>
      </c>
      <c r="Q14" s="51">
        <f>INT(VALUE(C27))/100</f>
        <v>36657200.49</v>
      </c>
    </row>
    <row r="15" spans="1:17" ht="19.5" customHeight="1">
      <c r="A15" s="364">
        <f>Skriveni!B59</f>
        <v>7599430058.56</v>
      </c>
      <c r="B15" s="365"/>
      <c r="C15" s="366"/>
      <c r="D15" s="56"/>
      <c r="E15" s="56"/>
      <c r="F15" s="56"/>
      <c r="G15" s="56"/>
      <c r="H15" s="56"/>
      <c r="I15" s="56"/>
      <c r="J15" s="56"/>
      <c r="K15" s="56"/>
      <c r="L15" s="56"/>
      <c r="M15" s="56"/>
      <c r="N15" s="56"/>
      <c r="P15" s="50" t="s">
        <v>887</v>
      </c>
      <c r="Q15" s="51">
        <f>LEN(Skriveni!B9)</f>
        <v>30</v>
      </c>
    </row>
    <row r="16" spans="4:17" ht="12.75" customHeight="1">
      <c r="D16" s="56"/>
      <c r="E16" s="56"/>
      <c r="F16" s="56"/>
      <c r="G16" s="56"/>
      <c r="H16" s="56"/>
      <c r="I16" s="56"/>
      <c r="P16" s="50" t="s">
        <v>888</v>
      </c>
      <c r="Q16" s="51">
        <f>INT(VALUE(C31))/100</f>
        <v>310</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6</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1</v>
      </c>
      <c r="D19" s="380" t="str">
        <f>IF(C19="","Upišite svrhu predaje",IF(ISNA(LOOKUP(C19,A118:A120,A118:A120)),"Nepostojeća ili neprepoznatljiva svrha predaje",IF(LOOKUP(C19,A118:A120,A118:A120)&lt;&gt;C19,"Nepostojeća ili neprepoznatljiva svrha predaje",LOOKUP(C19,A118:A120,B118:B120))))</f>
        <v>Predaja samo u statističke svrhe</v>
      </c>
      <c r="E19" s="321"/>
      <c r="F19" s="321"/>
      <c r="G19" s="321"/>
      <c r="H19" s="321"/>
      <c r="I19" s="317" t="s">
        <v>198</v>
      </c>
      <c r="J19" s="379"/>
      <c r="K19" s="379"/>
      <c r="L19" s="379"/>
      <c r="M19" s="379"/>
      <c r="N19" s="32" t="s">
        <v>2982</v>
      </c>
      <c r="P19" s="50" t="s">
        <v>890</v>
      </c>
      <c r="Q19" s="51">
        <f>LEN(Skriveni!B12)</f>
        <v>18</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312</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7219</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31000</v>
      </c>
      <c r="D31" s="328" t="s">
        <v>929</v>
      </c>
      <c r="E31" s="329"/>
      <c r="F31" s="302" t="s">
        <v>2987</v>
      </c>
      <c r="G31" s="330"/>
      <c r="H31" s="330"/>
      <c r="I31" s="330"/>
      <c r="J31" s="330"/>
      <c r="K31" s="330"/>
      <c r="L31" s="331"/>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2991</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2990</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312</v>
      </c>
      <c r="D39" s="278" t="str">
        <f>IF(C39="","Upišite šifru grada/općine",IF(ISNA(LOOKUP(C39,A177:A732,A177:A732)),"Šifra grada/općine ne postoji",IF(LOOKUP(C39,A177:A732,A177:A732)&lt;&gt;C39,"Šifra grada/općine ne postoji",LOOKUP(C39,A177:A732,B177:B732))))</f>
        <v>Osijek</v>
      </c>
      <c r="E39" s="323"/>
      <c r="F39" s="323"/>
      <c r="G39" s="323"/>
      <c r="H39" s="287" t="s">
        <v>2109</v>
      </c>
      <c r="I39" s="306"/>
      <c r="J39" s="54">
        <f>IF(C39&gt;0,LOOKUP(C39,A177:A732,C177:C732),"")</f>
        <v>14</v>
      </c>
      <c r="K39" s="332" t="str">
        <f>IF(J39="","Upišite šifru grada/općine",LOOKUP(J39,A153:A173,B153:B173))</f>
        <v>OSIJEČKO-BARANJSKA</v>
      </c>
      <c r="L39" s="332"/>
      <c r="M39" s="332"/>
      <c r="N39" s="332"/>
      <c r="P39" s="50" t="s">
        <v>896</v>
      </c>
      <c r="Q39" s="51">
        <f>C56+2*F56+3*C58+4*F58</f>
        <v>1777</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2755</v>
      </c>
      <c r="D42" s="320" t="str">
        <f>IF(C42="","Upišite šifru razreda glavne djelatnosti",IF(ISNA(LOOKUP(C42,A736:A1351,A736:A1351)),"Šifra NKD-a ne postoji",IF(LOOKUP(C42,A736:A1351,A736:A1351)&lt;&gt;C42,"Šifra NKD-a ne postoji",LOOKUP(C42,A736:A1351,B736:B1351))))</f>
        <v>Ostalo istraživanje i eksperimentalni ...</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10</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Ostali obveznici poreza na dobit</v>
      </c>
      <c r="E44" s="279"/>
      <c r="F44" s="279"/>
      <c r="G44" s="279"/>
      <c r="H44" s="279"/>
      <c r="I44" s="279"/>
      <c r="J44" s="279"/>
      <c r="K44" s="279"/>
      <c r="L44" s="279"/>
      <c r="M44" s="279"/>
      <c r="N44" s="279"/>
      <c r="P44" s="50" t="s">
        <v>1299</v>
      </c>
      <c r="Q44" s="51">
        <f>LEN(Skriveni!B43)</f>
        <v>15</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3</v>
      </c>
      <c r="D50" s="274" t="str">
        <f>IF(C50="","Upišite oznaku veličine",IF(ISNA(LOOKUP(C50,A124:A127,A124:A127)),"Nepostojeća oznaka veličine",IF(LOOKUP(C50,A124:A127,A124:A127)&lt;&gt;C50,"Nepostojeća oznaka veličine",LOOKUP(C50,A124:A127,B124:B127))))</f>
        <v>Srednji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209</v>
      </c>
      <c r="D56" s="326" t="s">
        <v>2653</v>
      </c>
      <c r="E56" s="327"/>
      <c r="F56" s="40">
        <v>210</v>
      </c>
      <c r="G56" s="326" t="s">
        <v>2654</v>
      </c>
      <c r="H56" s="381"/>
      <c r="I56" s="218" t="s">
        <v>1237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164</v>
      </c>
      <c r="D58" s="314" t="s">
        <v>2653</v>
      </c>
      <c r="E58" s="314"/>
      <c r="F58" s="40">
        <v>164</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1237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2992</v>
      </c>
      <c r="D68" s="315"/>
      <c r="E68" s="315"/>
      <c r="F68" s="315"/>
      <c r="G68" s="316"/>
      <c r="H68" s="187"/>
      <c r="I68" s="218" t="s">
        <v>1237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2993</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2989</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2994</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34" activePane="bottomLeft" state="frozen"/>
      <selection pane="topLeft" activeCell="A1" sqref="A1"/>
      <selection pane="bottomLeft" activeCell="J49" sqref="J49"/>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03665720049; POLJOPRIVREDNI INSTITUT OSIJEK</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100923708</v>
      </c>
      <c r="J10" s="66">
        <f>J11+J18+J28+J39+J44</f>
        <v>99810139</v>
      </c>
    </row>
    <row r="11" spans="1:10" ht="13.5" customHeight="1">
      <c r="A11" s="386" t="s">
        <v>904</v>
      </c>
      <c r="B11" s="386"/>
      <c r="C11" s="386"/>
      <c r="D11" s="386"/>
      <c r="E11" s="386"/>
      <c r="F11" s="386"/>
      <c r="G11" s="15">
        <v>3</v>
      </c>
      <c r="H11" s="16"/>
      <c r="I11" s="66">
        <f>SUM(I12:I17)</f>
        <v>0</v>
      </c>
      <c r="J11" s="66">
        <f>SUM(J12:J17)</f>
        <v>0</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c r="J13" s="67"/>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100777470</v>
      </c>
      <c r="J18" s="66">
        <f>SUM(J19:J27)</f>
        <v>99709996</v>
      </c>
    </row>
    <row r="19" spans="1:10" ht="13.5" customHeight="1">
      <c r="A19" s="385" t="s">
        <v>733</v>
      </c>
      <c r="B19" s="385"/>
      <c r="C19" s="385"/>
      <c r="D19" s="385"/>
      <c r="E19" s="385"/>
      <c r="F19" s="385"/>
      <c r="G19" s="15">
        <v>11</v>
      </c>
      <c r="H19" s="16"/>
      <c r="I19" s="67">
        <v>64598054</v>
      </c>
      <c r="J19" s="67">
        <v>63727939</v>
      </c>
    </row>
    <row r="20" spans="1:10" ht="13.5" customHeight="1">
      <c r="A20" s="385" t="s">
        <v>796</v>
      </c>
      <c r="B20" s="385"/>
      <c r="C20" s="385"/>
      <c r="D20" s="385"/>
      <c r="E20" s="385"/>
      <c r="F20" s="385"/>
      <c r="G20" s="15">
        <v>12</v>
      </c>
      <c r="H20" s="16"/>
      <c r="I20" s="67">
        <v>15842221</v>
      </c>
      <c r="J20" s="67">
        <v>16663568</v>
      </c>
    </row>
    <row r="21" spans="1:10" ht="13.5" customHeight="1">
      <c r="A21" s="385" t="s">
        <v>734</v>
      </c>
      <c r="B21" s="385"/>
      <c r="C21" s="385"/>
      <c r="D21" s="385"/>
      <c r="E21" s="385"/>
      <c r="F21" s="385"/>
      <c r="G21" s="15">
        <v>13</v>
      </c>
      <c r="H21" s="16"/>
      <c r="I21" s="67">
        <v>8458931</v>
      </c>
      <c r="J21" s="67">
        <v>9157506</v>
      </c>
    </row>
    <row r="22" spans="1:10" ht="13.5" customHeight="1">
      <c r="A22" s="385" t="s">
        <v>405</v>
      </c>
      <c r="B22" s="385"/>
      <c r="C22" s="385"/>
      <c r="D22" s="385"/>
      <c r="E22" s="385"/>
      <c r="F22" s="385"/>
      <c r="G22" s="15">
        <v>14</v>
      </c>
      <c r="H22" s="16"/>
      <c r="I22" s="67">
        <v>8596238</v>
      </c>
      <c r="J22" s="67">
        <v>8661645</v>
      </c>
    </row>
    <row r="23" spans="1:10" ht="13.5" customHeight="1">
      <c r="A23" s="385" t="s">
        <v>406</v>
      </c>
      <c r="B23" s="385"/>
      <c r="C23" s="385"/>
      <c r="D23" s="385"/>
      <c r="E23" s="385"/>
      <c r="F23" s="385"/>
      <c r="G23" s="15">
        <v>15</v>
      </c>
      <c r="H23" s="16"/>
      <c r="I23" s="67">
        <v>950217</v>
      </c>
      <c r="J23" s="67">
        <v>891914</v>
      </c>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v>2009885</v>
      </c>
      <c r="J25" s="67">
        <v>285500</v>
      </c>
    </row>
    <row r="26" spans="1:10" ht="13.5" customHeight="1">
      <c r="A26" s="385" t="s">
        <v>2693</v>
      </c>
      <c r="B26" s="385"/>
      <c r="C26" s="385"/>
      <c r="D26" s="385"/>
      <c r="E26" s="385"/>
      <c r="F26" s="385"/>
      <c r="G26" s="15">
        <v>18</v>
      </c>
      <c r="H26" s="16"/>
      <c r="I26" s="67">
        <v>321924</v>
      </c>
      <c r="J26" s="67">
        <v>321924</v>
      </c>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146238</v>
      </c>
      <c r="J28" s="66">
        <f>SUM(J29:J38)</f>
        <v>100143</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v>146238</v>
      </c>
      <c r="J38" s="67">
        <v>100143</v>
      </c>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61377756</v>
      </c>
      <c r="J45" s="66">
        <f>J46+J54+J61+J71</f>
        <v>68514162</v>
      </c>
    </row>
    <row r="46" spans="1:10" ht="13.5" customHeight="1">
      <c r="A46" s="386" t="s">
        <v>1264</v>
      </c>
      <c r="B46" s="386"/>
      <c r="C46" s="386"/>
      <c r="D46" s="386"/>
      <c r="E46" s="386"/>
      <c r="F46" s="386"/>
      <c r="G46" s="15">
        <v>38</v>
      </c>
      <c r="H46" s="16"/>
      <c r="I46" s="66">
        <f>SUM(I47:I53)</f>
        <v>34997267</v>
      </c>
      <c r="J46" s="66">
        <f>SUM(J47:J53)</f>
        <v>43314899</v>
      </c>
    </row>
    <row r="47" spans="1:10" ht="13.5" customHeight="1">
      <c r="A47" s="385" t="s">
        <v>1892</v>
      </c>
      <c r="B47" s="385"/>
      <c r="C47" s="385"/>
      <c r="D47" s="385"/>
      <c r="E47" s="385"/>
      <c r="F47" s="385"/>
      <c r="G47" s="15">
        <v>39</v>
      </c>
      <c r="H47" s="16"/>
      <c r="I47" s="67">
        <v>3668833</v>
      </c>
      <c r="J47" s="67">
        <v>4088545</v>
      </c>
    </row>
    <row r="48" spans="1:10" ht="13.5" customHeight="1">
      <c r="A48" s="385" t="s">
        <v>1893</v>
      </c>
      <c r="B48" s="385"/>
      <c r="C48" s="385"/>
      <c r="D48" s="385"/>
      <c r="E48" s="385"/>
      <c r="F48" s="385"/>
      <c r="G48" s="15">
        <v>40</v>
      </c>
      <c r="H48" s="16"/>
      <c r="I48" s="67">
        <v>4451689</v>
      </c>
      <c r="J48" s="67">
        <v>4908367</v>
      </c>
    </row>
    <row r="49" spans="1:10" ht="13.5" customHeight="1">
      <c r="A49" s="385" t="s">
        <v>1894</v>
      </c>
      <c r="B49" s="385"/>
      <c r="C49" s="385"/>
      <c r="D49" s="385"/>
      <c r="E49" s="385"/>
      <c r="F49" s="385"/>
      <c r="G49" s="15">
        <v>41</v>
      </c>
      <c r="H49" s="16"/>
      <c r="I49" s="67">
        <v>6961835</v>
      </c>
      <c r="J49" s="67">
        <v>8124469</v>
      </c>
    </row>
    <row r="50" spans="1:10" ht="13.5" customHeight="1">
      <c r="A50" s="385" t="s">
        <v>1895</v>
      </c>
      <c r="B50" s="385"/>
      <c r="C50" s="385"/>
      <c r="D50" s="385"/>
      <c r="E50" s="385"/>
      <c r="F50" s="385"/>
      <c r="G50" s="15">
        <v>42</v>
      </c>
      <c r="H50" s="16"/>
      <c r="I50" s="67">
        <v>19914910</v>
      </c>
      <c r="J50" s="67">
        <v>26193518</v>
      </c>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17147520</v>
      </c>
      <c r="J54" s="66">
        <f>SUM(J55:J60)</f>
        <v>18709848</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12902520</v>
      </c>
      <c r="J57" s="67">
        <v>17472639</v>
      </c>
    </row>
    <row r="58" spans="1:10" ht="13.5" customHeight="1">
      <c r="A58" s="385" t="s">
        <v>2009</v>
      </c>
      <c r="B58" s="385"/>
      <c r="C58" s="385"/>
      <c r="D58" s="385"/>
      <c r="E58" s="385"/>
      <c r="F58" s="385"/>
      <c r="G58" s="15">
        <v>50</v>
      </c>
      <c r="H58" s="16"/>
      <c r="I58" s="67">
        <v>39197</v>
      </c>
      <c r="J58" s="67">
        <v>42715</v>
      </c>
    </row>
    <row r="59" spans="1:10" ht="13.5" customHeight="1">
      <c r="A59" s="385" t="s">
        <v>2010</v>
      </c>
      <c r="B59" s="385"/>
      <c r="C59" s="385"/>
      <c r="D59" s="385"/>
      <c r="E59" s="385"/>
      <c r="F59" s="385"/>
      <c r="G59" s="15">
        <v>51</v>
      </c>
      <c r="H59" s="16"/>
      <c r="I59" s="67">
        <v>4199710</v>
      </c>
      <c r="J59" s="67">
        <v>1194494</v>
      </c>
    </row>
    <row r="60" spans="1:10" ht="13.5" customHeight="1">
      <c r="A60" s="385" t="s">
        <v>1255</v>
      </c>
      <c r="B60" s="385"/>
      <c r="C60" s="385"/>
      <c r="D60" s="385"/>
      <c r="E60" s="385"/>
      <c r="F60" s="385"/>
      <c r="G60" s="15">
        <v>52</v>
      </c>
      <c r="H60" s="16"/>
      <c r="I60" s="67">
        <v>6093</v>
      </c>
      <c r="J60" s="67">
        <v>0</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9232969</v>
      </c>
      <c r="J71" s="67">
        <v>6489415</v>
      </c>
    </row>
    <row r="72" spans="1:10" ht="24.75" customHeight="1">
      <c r="A72" s="387" t="s">
        <v>591</v>
      </c>
      <c r="B72" s="387"/>
      <c r="C72" s="387"/>
      <c r="D72" s="387"/>
      <c r="E72" s="387"/>
      <c r="F72" s="387"/>
      <c r="G72" s="15">
        <v>64</v>
      </c>
      <c r="H72" s="16"/>
      <c r="I72" s="67">
        <v>128949</v>
      </c>
      <c r="J72" s="67">
        <v>0</v>
      </c>
    </row>
    <row r="73" spans="1:10" ht="13.5" customHeight="1">
      <c r="A73" s="387" t="s">
        <v>1267</v>
      </c>
      <c r="B73" s="387"/>
      <c r="C73" s="387"/>
      <c r="D73" s="387"/>
      <c r="E73" s="387"/>
      <c r="F73" s="387"/>
      <c r="G73" s="15">
        <v>65</v>
      </c>
      <c r="H73" s="16"/>
      <c r="I73" s="66">
        <f>I9+I10+I45+I72</f>
        <v>162430413</v>
      </c>
      <c r="J73" s="66">
        <f>J9+J10+J45+J72</f>
        <v>168324301</v>
      </c>
    </row>
    <row r="74" spans="1:10" ht="13.5" customHeight="1">
      <c r="A74" s="388" t="s">
        <v>1004</v>
      </c>
      <c r="B74" s="388"/>
      <c r="C74" s="388"/>
      <c r="D74" s="388"/>
      <c r="E74" s="388"/>
      <c r="F74" s="388"/>
      <c r="G74" s="17">
        <v>66</v>
      </c>
      <c r="H74" s="18"/>
      <c r="I74" s="68">
        <v>5744</v>
      </c>
      <c r="J74" s="68">
        <v>80</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126811407</v>
      </c>
      <c r="J76" s="66">
        <f>J77+J78+J79+J85+J86+J92+J95+J98</f>
        <v>129789977</v>
      </c>
      <c r="L76" s="2" t="s">
        <v>1209</v>
      </c>
    </row>
    <row r="77" spans="1:10" ht="13.5" customHeight="1">
      <c r="A77" s="386" t="s">
        <v>1857</v>
      </c>
      <c r="B77" s="386"/>
      <c r="C77" s="386"/>
      <c r="D77" s="386"/>
      <c r="E77" s="386"/>
      <c r="F77" s="386"/>
      <c r="G77" s="15">
        <v>68</v>
      </c>
      <c r="H77" s="16"/>
      <c r="I77" s="67"/>
      <c r="J77" s="67"/>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v>99025147</v>
      </c>
      <c r="J85" s="67">
        <v>98646020</v>
      </c>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25739210</v>
      </c>
      <c r="J92" s="66">
        <f>J93-J94</f>
        <v>27786537</v>
      </c>
      <c r="L92" s="2" t="s">
        <v>1209</v>
      </c>
    </row>
    <row r="93" spans="1:10" ht="13.5" customHeight="1">
      <c r="A93" s="385" t="s">
        <v>2830</v>
      </c>
      <c r="B93" s="385"/>
      <c r="C93" s="385"/>
      <c r="D93" s="385"/>
      <c r="E93" s="385"/>
      <c r="F93" s="385"/>
      <c r="G93" s="15">
        <v>84</v>
      </c>
      <c r="H93" s="16"/>
      <c r="I93" s="67">
        <v>25739210</v>
      </c>
      <c r="J93" s="67">
        <v>27786537</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2047050</v>
      </c>
      <c r="J95" s="66">
        <f>J96-J97</f>
        <v>3357420</v>
      </c>
      <c r="L95" s="2" t="s">
        <v>1209</v>
      </c>
    </row>
    <row r="96" spans="1:10" ht="13.5" customHeight="1">
      <c r="A96" s="385" t="s">
        <v>1257</v>
      </c>
      <c r="B96" s="385"/>
      <c r="C96" s="385"/>
      <c r="D96" s="385"/>
      <c r="E96" s="385"/>
      <c r="F96" s="385"/>
      <c r="G96" s="15">
        <v>87</v>
      </c>
      <c r="H96" s="16"/>
      <c r="I96" s="67">
        <v>2047050</v>
      </c>
      <c r="J96" s="67">
        <v>3357420</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5173449</v>
      </c>
      <c r="J106" s="66">
        <f>SUM(J107:J117)</f>
        <v>4673343</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v>1042550</v>
      </c>
      <c r="J112" s="67">
        <v>707991</v>
      </c>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v>1046468</v>
      </c>
      <c r="J116" s="67">
        <v>895713</v>
      </c>
    </row>
    <row r="117" spans="1:10" ht="13.5" customHeight="1">
      <c r="A117" s="385" t="s">
        <v>1272</v>
      </c>
      <c r="B117" s="385"/>
      <c r="C117" s="385"/>
      <c r="D117" s="385"/>
      <c r="E117" s="385"/>
      <c r="F117" s="385"/>
      <c r="G117" s="15">
        <v>108</v>
      </c>
      <c r="H117" s="16"/>
      <c r="I117" s="67">
        <v>3084431</v>
      </c>
      <c r="J117" s="67">
        <v>3069639</v>
      </c>
    </row>
    <row r="118" spans="1:10" ht="13.5" customHeight="1">
      <c r="A118" s="387" t="s">
        <v>2490</v>
      </c>
      <c r="B118" s="387"/>
      <c r="C118" s="387"/>
      <c r="D118" s="387"/>
      <c r="E118" s="387"/>
      <c r="F118" s="387"/>
      <c r="G118" s="15">
        <v>109</v>
      </c>
      <c r="H118" s="16"/>
      <c r="I118" s="66">
        <f>SUM(I119:I132)</f>
        <v>21640242</v>
      </c>
      <c r="J118" s="66">
        <f>SUM(J119:J132)</f>
        <v>25105909</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v>3635000</v>
      </c>
      <c r="J124" s="67">
        <v>0</v>
      </c>
    </row>
    <row r="125" spans="1:10" ht="13.5" customHeight="1">
      <c r="A125" s="385" t="s">
        <v>2016</v>
      </c>
      <c r="B125" s="385"/>
      <c r="C125" s="385"/>
      <c r="D125" s="385"/>
      <c r="E125" s="385"/>
      <c r="F125" s="385"/>
      <c r="G125" s="15">
        <v>116</v>
      </c>
      <c r="H125" s="16"/>
      <c r="I125" s="67"/>
      <c r="J125" s="67"/>
    </row>
    <row r="126" spans="1:10" ht="13.5" customHeight="1">
      <c r="A126" s="385" t="s">
        <v>2017</v>
      </c>
      <c r="B126" s="385"/>
      <c r="C126" s="385"/>
      <c r="D126" s="385"/>
      <c r="E126" s="385"/>
      <c r="F126" s="385"/>
      <c r="G126" s="15">
        <v>117</v>
      </c>
      <c r="H126" s="16"/>
      <c r="I126" s="67">
        <v>15780317</v>
      </c>
      <c r="J126" s="67">
        <v>22679206</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1098331</v>
      </c>
      <c r="J128" s="67">
        <v>1240273</v>
      </c>
    </row>
    <row r="129" spans="1:10" ht="13.5" customHeight="1">
      <c r="A129" s="385" t="s">
        <v>2023</v>
      </c>
      <c r="B129" s="385"/>
      <c r="C129" s="385"/>
      <c r="D129" s="385"/>
      <c r="E129" s="385"/>
      <c r="F129" s="385"/>
      <c r="G129" s="15">
        <v>120</v>
      </c>
      <c r="H129" s="16"/>
      <c r="I129" s="67">
        <v>1126594</v>
      </c>
      <c r="J129" s="67">
        <v>1186430</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c r="J132" s="67"/>
    </row>
    <row r="133" spans="1:10" ht="24.75" customHeight="1">
      <c r="A133" s="387" t="s">
        <v>593</v>
      </c>
      <c r="B133" s="387"/>
      <c r="C133" s="387"/>
      <c r="D133" s="387"/>
      <c r="E133" s="387"/>
      <c r="F133" s="387"/>
      <c r="G133" s="15">
        <v>124</v>
      </c>
      <c r="H133" s="16"/>
      <c r="I133" s="67">
        <v>8805315</v>
      </c>
      <c r="J133" s="67">
        <v>8755072</v>
      </c>
    </row>
    <row r="134" spans="1:10" ht="13.5" customHeight="1">
      <c r="A134" s="387" t="s">
        <v>360</v>
      </c>
      <c r="B134" s="387"/>
      <c r="C134" s="387"/>
      <c r="D134" s="387"/>
      <c r="E134" s="387"/>
      <c r="F134" s="387"/>
      <c r="G134" s="15">
        <v>125</v>
      </c>
      <c r="H134" s="16"/>
      <c r="I134" s="66">
        <f>I76+I99+I106+I118+I133</f>
        <v>162430413</v>
      </c>
      <c r="J134" s="66">
        <f>J76+J99+J106+J118+J133</f>
        <v>168324301</v>
      </c>
    </row>
    <row r="135" spans="1:10" ht="13.5" customHeight="1">
      <c r="A135" s="388" t="s">
        <v>1512</v>
      </c>
      <c r="B135" s="388"/>
      <c r="C135" s="388"/>
      <c r="D135" s="388"/>
      <c r="E135" s="388"/>
      <c r="F135" s="388"/>
      <c r="G135" s="17">
        <v>126</v>
      </c>
      <c r="H135" s="18"/>
      <c r="I135" s="68">
        <v>5744</v>
      </c>
      <c r="J135" s="68">
        <v>80</v>
      </c>
    </row>
    <row r="136" ht="4.5" customHeight="1"/>
    <row r="137" ht="12" hidden="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tabSelected="1" zoomScalePageLayoutView="0" workbookViewId="0" topLeftCell="A1">
      <pane ySplit="1" topLeftCell="A2" activePane="bottomLeft" state="frozen"/>
      <selection pane="topLeft" activeCell="A1" sqref="A1"/>
      <selection pane="bottomLeft" activeCell="J25" sqref="J25"/>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03665720049; POLJOPRIVREDNI INSTITUT OSIJEK</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98028742</v>
      </c>
      <c r="J8" s="80">
        <f>SUM(J9:J13)</f>
        <v>114085066</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82231509</v>
      </c>
      <c r="J10" s="67">
        <v>97563433</v>
      </c>
    </row>
    <row r="11" spans="1:10" s="2" customFormat="1" ht="14.25" customHeight="1">
      <c r="A11" s="385" t="s">
        <v>1086</v>
      </c>
      <c r="B11" s="385"/>
      <c r="C11" s="385"/>
      <c r="D11" s="385"/>
      <c r="E11" s="385"/>
      <c r="F11" s="385"/>
      <c r="G11" s="15">
        <v>130</v>
      </c>
      <c r="H11" s="16"/>
      <c r="I11" s="67">
        <v>85996</v>
      </c>
      <c r="J11" s="67">
        <v>75517</v>
      </c>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15711237</v>
      </c>
      <c r="J13" s="67">
        <v>16446116</v>
      </c>
    </row>
    <row r="14" spans="1:10" s="2" customFormat="1" ht="14.25" customHeight="1">
      <c r="A14" s="387" t="s">
        <v>2492</v>
      </c>
      <c r="B14" s="387"/>
      <c r="C14" s="387"/>
      <c r="D14" s="387"/>
      <c r="E14" s="387"/>
      <c r="F14" s="387"/>
      <c r="G14" s="15">
        <v>133</v>
      </c>
      <c r="H14" s="16"/>
      <c r="I14" s="66">
        <f>I15+I16+I20+I24+I25+I26+I29+I36</f>
        <v>95263093</v>
      </c>
      <c r="J14" s="66">
        <f>J15+J16+J20+J24+J25+J26+J29+J36</f>
        <v>109737454</v>
      </c>
    </row>
    <row r="15" spans="1:12" s="2" customFormat="1" ht="14.25" customHeight="1">
      <c r="A15" s="385" t="s">
        <v>1005</v>
      </c>
      <c r="B15" s="385"/>
      <c r="C15" s="385"/>
      <c r="D15" s="385"/>
      <c r="E15" s="385"/>
      <c r="F15" s="385"/>
      <c r="G15" s="15">
        <v>134</v>
      </c>
      <c r="H15" s="16"/>
      <c r="I15" s="67">
        <v>1727503</v>
      </c>
      <c r="J15" s="67">
        <v>-1619312</v>
      </c>
      <c r="L15" s="2" t="s">
        <v>1209</v>
      </c>
    </row>
    <row r="16" spans="1:10" s="2" customFormat="1" ht="14.25" customHeight="1">
      <c r="A16" s="385" t="s">
        <v>2493</v>
      </c>
      <c r="B16" s="385"/>
      <c r="C16" s="385"/>
      <c r="D16" s="385"/>
      <c r="E16" s="385"/>
      <c r="F16" s="385"/>
      <c r="G16" s="15">
        <v>135</v>
      </c>
      <c r="H16" s="16"/>
      <c r="I16" s="66">
        <f>SUM(I17:I19)</f>
        <v>52483683</v>
      </c>
      <c r="J16" s="66">
        <f>SUM(J17:J19)</f>
        <v>66328221</v>
      </c>
    </row>
    <row r="17" spans="1:10" s="2" customFormat="1" ht="14.25" customHeight="1">
      <c r="A17" s="414" t="s">
        <v>1273</v>
      </c>
      <c r="B17" s="414"/>
      <c r="C17" s="414"/>
      <c r="D17" s="414"/>
      <c r="E17" s="414"/>
      <c r="F17" s="414"/>
      <c r="G17" s="15">
        <v>136</v>
      </c>
      <c r="H17" s="16"/>
      <c r="I17" s="67">
        <v>7796414</v>
      </c>
      <c r="J17" s="67">
        <v>10102866</v>
      </c>
    </row>
    <row r="18" spans="1:10" s="2" customFormat="1" ht="14.25" customHeight="1">
      <c r="A18" s="414" t="s">
        <v>1274</v>
      </c>
      <c r="B18" s="414"/>
      <c r="C18" s="414"/>
      <c r="D18" s="414"/>
      <c r="E18" s="414"/>
      <c r="F18" s="414"/>
      <c r="G18" s="15">
        <v>137</v>
      </c>
      <c r="H18" s="16"/>
      <c r="I18" s="67">
        <v>34161555</v>
      </c>
      <c r="J18" s="67">
        <v>42515532</v>
      </c>
    </row>
    <row r="19" spans="1:10" s="2" customFormat="1" ht="14.25" customHeight="1">
      <c r="A19" s="414" t="s">
        <v>2959</v>
      </c>
      <c r="B19" s="414"/>
      <c r="C19" s="414"/>
      <c r="D19" s="414"/>
      <c r="E19" s="414"/>
      <c r="F19" s="414"/>
      <c r="G19" s="15">
        <v>138</v>
      </c>
      <c r="H19" s="16"/>
      <c r="I19" s="67">
        <v>10525714</v>
      </c>
      <c r="J19" s="67">
        <v>13709823</v>
      </c>
    </row>
    <row r="20" spans="1:10" s="2" customFormat="1" ht="14.25" customHeight="1">
      <c r="A20" s="385" t="s">
        <v>2494</v>
      </c>
      <c r="B20" s="385"/>
      <c r="C20" s="385"/>
      <c r="D20" s="385"/>
      <c r="E20" s="385"/>
      <c r="F20" s="385"/>
      <c r="G20" s="15">
        <v>139</v>
      </c>
      <c r="H20" s="16"/>
      <c r="I20" s="66">
        <f>SUM(I21:I23)</f>
        <v>30100024</v>
      </c>
      <c r="J20" s="66">
        <f>SUM(J21:J23)</f>
        <v>31970462</v>
      </c>
    </row>
    <row r="21" spans="1:10" s="2" customFormat="1" ht="14.25" customHeight="1">
      <c r="A21" s="414" t="s">
        <v>960</v>
      </c>
      <c r="B21" s="414"/>
      <c r="C21" s="414"/>
      <c r="D21" s="414"/>
      <c r="E21" s="414"/>
      <c r="F21" s="414"/>
      <c r="G21" s="15">
        <v>140</v>
      </c>
      <c r="H21" s="16"/>
      <c r="I21" s="67">
        <v>18632810</v>
      </c>
      <c r="J21" s="67">
        <v>19641630</v>
      </c>
    </row>
    <row r="22" spans="1:10" s="2" customFormat="1" ht="14.25" customHeight="1">
      <c r="A22" s="414" t="s">
        <v>1883</v>
      </c>
      <c r="B22" s="414"/>
      <c r="C22" s="414"/>
      <c r="D22" s="414"/>
      <c r="E22" s="414"/>
      <c r="F22" s="414"/>
      <c r="G22" s="15">
        <v>141</v>
      </c>
      <c r="H22" s="16"/>
      <c r="I22" s="67">
        <v>7252748</v>
      </c>
      <c r="J22" s="67">
        <v>7820840</v>
      </c>
    </row>
    <row r="23" spans="1:10" s="2" customFormat="1" ht="14.25" customHeight="1">
      <c r="A23" s="414" t="s">
        <v>1884</v>
      </c>
      <c r="B23" s="414"/>
      <c r="C23" s="414"/>
      <c r="D23" s="414"/>
      <c r="E23" s="414"/>
      <c r="F23" s="414"/>
      <c r="G23" s="15">
        <v>142</v>
      </c>
      <c r="H23" s="16"/>
      <c r="I23" s="67">
        <v>4214466</v>
      </c>
      <c r="J23" s="67">
        <v>4507992</v>
      </c>
    </row>
    <row r="24" spans="1:10" s="2" customFormat="1" ht="14.25" customHeight="1">
      <c r="A24" s="385" t="s">
        <v>1006</v>
      </c>
      <c r="B24" s="385"/>
      <c r="C24" s="385"/>
      <c r="D24" s="385"/>
      <c r="E24" s="385"/>
      <c r="F24" s="385"/>
      <c r="G24" s="15">
        <v>143</v>
      </c>
      <c r="H24" s="16"/>
      <c r="I24" s="67">
        <v>3100741</v>
      </c>
      <c r="J24" s="67">
        <v>3199742</v>
      </c>
    </row>
    <row r="25" spans="1:10" s="2" customFormat="1" ht="14.25" customHeight="1">
      <c r="A25" s="385" t="s">
        <v>1007</v>
      </c>
      <c r="B25" s="385"/>
      <c r="C25" s="385"/>
      <c r="D25" s="385"/>
      <c r="E25" s="385"/>
      <c r="F25" s="385"/>
      <c r="G25" s="15">
        <v>144</v>
      </c>
      <c r="H25" s="16"/>
      <c r="I25" s="67">
        <v>3834916</v>
      </c>
      <c r="J25" s="67">
        <v>5154890</v>
      </c>
    </row>
    <row r="26" spans="1:12" s="2" customFormat="1" ht="14.25" customHeight="1">
      <c r="A26" s="385" t="s">
        <v>2495</v>
      </c>
      <c r="B26" s="385"/>
      <c r="C26" s="385"/>
      <c r="D26" s="385"/>
      <c r="E26" s="385"/>
      <c r="F26" s="385"/>
      <c r="G26" s="15">
        <v>145</v>
      </c>
      <c r="H26" s="16"/>
      <c r="I26" s="66">
        <f>SUM(I27:I28)</f>
        <v>3765656</v>
      </c>
      <c r="J26" s="66">
        <f>SUM(J27:J28)</f>
        <v>3830698</v>
      </c>
      <c r="L26" s="2" t="s">
        <v>1209</v>
      </c>
    </row>
    <row r="27" spans="1:12" s="2" customFormat="1" ht="14.25" customHeight="1">
      <c r="A27" s="414" t="s">
        <v>1275</v>
      </c>
      <c r="B27" s="414"/>
      <c r="C27" s="414"/>
      <c r="D27" s="414"/>
      <c r="E27" s="414"/>
      <c r="F27" s="414"/>
      <c r="G27" s="15">
        <v>146</v>
      </c>
      <c r="H27" s="16"/>
      <c r="I27" s="67"/>
      <c r="J27" s="67"/>
      <c r="L27" s="2" t="s">
        <v>1209</v>
      </c>
    </row>
    <row r="28" spans="1:12" s="2" customFormat="1" ht="14.25" customHeight="1">
      <c r="A28" s="414" t="s">
        <v>1276</v>
      </c>
      <c r="B28" s="414"/>
      <c r="C28" s="414"/>
      <c r="D28" s="414"/>
      <c r="E28" s="414"/>
      <c r="F28" s="414"/>
      <c r="G28" s="15">
        <v>147</v>
      </c>
      <c r="H28" s="16"/>
      <c r="I28" s="67">
        <v>3765656</v>
      </c>
      <c r="J28" s="67">
        <v>3830698</v>
      </c>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c r="J30" s="67"/>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c r="J32" s="67"/>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c r="J35" s="67"/>
      <c r="L35" s="2" t="s">
        <v>1209</v>
      </c>
    </row>
    <row r="36" spans="1:10" s="2" customFormat="1" ht="14.25" customHeight="1">
      <c r="A36" s="385" t="s">
        <v>147</v>
      </c>
      <c r="B36" s="385"/>
      <c r="C36" s="385"/>
      <c r="D36" s="385"/>
      <c r="E36" s="385"/>
      <c r="F36" s="385"/>
      <c r="G36" s="15">
        <v>155</v>
      </c>
      <c r="H36" s="16"/>
      <c r="I36" s="67">
        <v>250570</v>
      </c>
      <c r="J36" s="67">
        <v>872753</v>
      </c>
    </row>
    <row r="37" spans="1:10" s="2" customFormat="1" ht="14.25" customHeight="1">
      <c r="A37" s="387" t="s">
        <v>2497</v>
      </c>
      <c r="B37" s="387"/>
      <c r="C37" s="387"/>
      <c r="D37" s="387"/>
      <c r="E37" s="387"/>
      <c r="F37" s="387"/>
      <c r="G37" s="15">
        <v>156</v>
      </c>
      <c r="H37" s="16"/>
      <c r="I37" s="66">
        <f>SUM(I38:I47)</f>
        <v>72151</v>
      </c>
      <c r="J37" s="66">
        <f>SUM(J38:J47)</f>
        <v>124739</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10432</v>
      </c>
      <c r="J44" s="67">
        <v>2850</v>
      </c>
    </row>
    <row r="45" spans="1:10" s="2" customFormat="1" ht="14.25" customHeight="1">
      <c r="A45" s="385" t="s">
        <v>2961</v>
      </c>
      <c r="B45" s="385"/>
      <c r="C45" s="385"/>
      <c r="D45" s="385"/>
      <c r="E45" s="385"/>
      <c r="F45" s="385"/>
      <c r="G45" s="15">
        <v>164</v>
      </c>
      <c r="H45" s="16"/>
      <c r="I45" s="67">
        <v>61719</v>
      </c>
      <c r="J45" s="67">
        <v>121889</v>
      </c>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262405</v>
      </c>
      <c r="J48" s="66">
        <f>SUM(J49:J55)</f>
        <v>237524</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44166</v>
      </c>
      <c r="J51" s="67">
        <v>47589</v>
      </c>
    </row>
    <row r="52" spans="1:10" s="2" customFormat="1" ht="14.25" customHeight="1">
      <c r="A52" s="413" t="s">
        <v>1090</v>
      </c>
      <c r="B52" s="413"/>
      <c r="C52" s="413"/>
      <c r="D52" s="413"/>
      <c r="E52" s="413"/>
      <c r="F52" s="413"/>
      <c r="G52" s="15">
        <v>171</v>
      </c>
      <c r="H52" s="16"/>
      <c r="I52" s="67">
        <v>218239</v>
      </c>
      <c r="J52" s="67">
        <v>189935</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98100893</v>
      </c>
      <c r="J60" s="66">
        <f>J8+J37+J56+J57</f>
        <v>114209805</v>
      </c>
    </row>
    <row r="61" spans="1:10" s="2" customFormat="1" ht="14.25" customHeight="1">
      <c r="A61" s="387" t="s">
        <v>2500</v>
      </c>
      <c r="B61" s="387"/>
      <c r="C61" s="387"/>
      <c r="D61" s="387"/>
      <c r="E61" s="387"/>
      <c r="F61" s="387"/>
      <c r="G61" s="15">
        <v>180</v>
      </c>
      <c r="H61" s="16"/>
      <c r="I61" s="66">
        <f>I14+I48+I58+I59</f>
        <v>95525498</v>
      </c>
      <c r="J61" s="66">
        <f>J14+J48+J58+J59</f>
        <v>109974978</v>
      </c>
    </row>
    <row r="62" spans="1:12" s="2" customFormat="1" ht="14.25" customHeight="1">
      <c r="A62" s="387" t="s">
        <v>2501</v>
      </c>
      <c r="B62" s="387"/>
      <c r="C62" s="387"/>
      <c r="D62" s="387"/>
      <c r="E62" s="387"/>
      <c r="F62" s="387"/>
      <c r="G62" s="15">
        <v>181</v>
      </c>
      <c r="H62" s="16"/>
      <c r="I62" s="66">
        <f>I60-I61</f>
        <v>2575395</v>
      </c>
      <c r="J62" s="66">
        <f>J60-J61</f>
        <v>4234827</v>
      </c>
      <c r="L62" s="2" t="s">
        <v>1209</v>
      </c>
    </row>
    <row r="63" spans="1:10" s="2" customFormat="1" ht="14.25" customHeight="1">
      <c r="A63" s="413" t="s">
        <v>2502</v>
      </c>
      <c r="B63" s="413"/>
      <c r="C63" s="413"/>
      <c r="D63" s="413"/>
      <c r="E63" s="413"/>
      <c r="F63" s="413"/>
      <c r="G63" s="15">
        <v>182</v>
      </c>
      <c r="H63" s="16"/>
      <c r="I63" s="66">
        <f>IF(I60&gt;I61,I60-I61,0)</f>
        <v>2575395</v>
      </c>
      <c r="J63" s="66">
        <f>IF(J60&gt;J61,J60-J61,0)</f>
        <v>4234827</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528345</v>
      </c>
      <c r="J65" s="67">
        <v>877407</v>
      </c>
      <c r="L65" s="2" t="s">
        <v>1209</v>
      </c>
    </row>
    <row r="66" spans="1:12" s="2" customFormat="1" ht="14.25" customHeight="1">
      <c r="A66" s="387" t="s">
        <v>2504</v>
      </c>
      <c r="B66" s="387"/>
      <c r="C66" s="387"/>
      <c r="D66" s="387"/>
      <c r="E66" s="387"/>
      <c r="F66" s="387"/>
      <c r="G66" s="15">
        <v>185</v>
      </c>
      <c r="H66" s="16"/>
      <c r="I66" s="66">
        <f>I62-I65</f>
        <v>2047050</v>
      </c>
      <c r="J66" s="66">
        <f>J62-J65</f>
        <v>3357420</v>
      </c>
      <c r="L66" s="2" t="s">
        <v>1209</v>
      </c>
    </row>
    <row r="67" spans="1:10" s="2" customFormat="1" ht="14.25" customHeight="1">
      <c r="A67" s="413" t="s">
        <v>2505</v>
      </c>
      <c r="B67" s="413"/>
      <c r="C67" s="413"/>
      <c r="D67" s="413"/>
      <c r="E67" s="413"/>
      <c r="F67" s="413"/>
      <c r="G67" s="15">
        <v>186</v>
      </c>
      <c r="H67" s="16"/>
      <c r="I67" s="66">
        <f>IF(I66&gt;0,I66,0)</f>
        <v>2047050</v>
      </c>
      <c r="J67" s="66">
        <f>IF(J66&gt;0,J66,0)</f>
        <v>3357420</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5:J5"/>
    <mergeCell ref="A6:F6"/>
    <mergeCell ref="A2:I2"/>
    <mergeCell ref="A3:I3"/>
    <mergeCell ref="J2:J3"/>
    <mergeCell ref="A31:F31"/>
    <mergeCell ref="A16:F16"/>
    <mergeCell ref="A23:F23"/>
    <mergeCell ref="A24:F24"/>
    <mergeCell ref="A15:F15"/>
    <mergeCell ref="A25:F2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36" activePane="bottomLeft" state="frozen"/>
      <selection pane="topLeft" activeCell="A1" sqref="A1"/>
      <selection pane="bottomLeft" activeCell="J88" sqref="J88"/>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03665720049; POLJOPRIVREDNI INSTITUT OSIJEK</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v>78527715</v>
      </c>
      <c r="J32" s="73">
        <v>94564538</v>
      </c>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v>3703794</v>
      </c>
      <c r="J35" s="74">
        <v>2998895</v>
      </c>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52448061</v>
      </c>
      <c r="J37" s="90">
        <v>65444721</v>
      </c>
    </row>
    <row r="38" spans="1:10" s="2" customFormat="1" ht="13.5" customHeight="1">
      <c r="A38" s="425" t="s">
        <v>2360</v>
      </c>
      <c r="B38" s="425"/>
      <c r="C38" s="425"/>
      <c r="D38" s="425"/>
      <c r="E38" s="425"/>
      <c r="F38" s="425"/>
      <c r="G38" s="432"/>
      <c r="H38" s="17">
        <v>253</v>
      </c>
      <c r="I38" s="74">
        <v>29783448</v>
      </c>
      <c r="J38" s="74">
        <v>32118712</v>
      </c>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v>85996</v>
      </c>
      <c r="J40" s="92">
        <v>75517</v>
      </c>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v>13250723</v>
      </c>
      <c r="J43" s="73">
        <v>13731829</v>
      </c>
    </row>
    <row r="44" spans="1:10" s="2" customFormat="1" ht="13.5" customHeight="1">
      <c r="A44" s="433" t="s">
        <v>1027</v>
      </c>
      <c r="B44" s="433"/>
      <c r="C44" s="433"/>
      <c r="D44" s="433"/>
      <c r="E44" s="433"/>
      <c r="F44" s="433"/>
      <c r="G44" s="434"/>
      <c r="H44" s="15">
        <v>257</v>
      </c>
      <c r="I44" s="73">
        <v>1494006</v>
      </c>
      <c r="J44" s="73">
        <v>1487295</v>
      </c>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v>1714921</v>
      </c>
      <c r="J50" s="73">
        <v>2845740</v>
      </c>
    </row>
    <row r="51" spans="1:10" s="2" customFormat="1" ht="24.75" customHeight="1">
      <c r="A51" s="413" t="s">
        <v>2106</v>
      </c>
      <c r="B51" s="413"/>
      <c r="C51" s="413"/>
      <c r="D51" s="413"/>
      <c r="E51" s="413"/>
      <c r="F51" s="413"/>
      <c r="G51" s="426"/>
      <c r="H51" s="15">
        <v>263</v>
      </c>
      <c r="I51" s="73">
        <v>110938</v>
      </c>
      <c r="J51" s="73">
        <v>198537</v>
      </c>
    </row>
    <row r="52" spans="1:10" s="2" customFormat="1" ht="24.75" customHeight="1">
      <c r="A52" s="413" t="s">
        <v>643</v>
      </c>
      <c r="B52" s="413"/>
      <c r="C52" s="413"/>
      <c r="D52" s="413"/>
      <c r="E52" s="413"/>
      <c r="F52" s="413"/>
      <c r="G52" s="426"/>
      <c r="H52" s="15">
        <v>264</v>
      </c>
      <c r="I52" s="73">
        <v>34161555</v>
      </c>
      <c r="J52" s="73">
        <v>42515532</v>
      </c>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v>165079</v>
      </c>
      <c r="J55" s="73">
        <v>326235</v>
      </c>
    </row>
    <row r="56" spans="1:10" s="2" customFormat="1" ht="13.5" customHeight="1">
      <c r="A56" s="413" t="s">
        <v>2816</v>
      </c>
      <c r="B56" s="413"/>
      <c r="C56" s="413"/>
      <c r="D56" s="413"/>
      <c r="E56" s="413"/>
      <c r="F56" s="413"/>
      <c r="G56" s="426"/>
      <c r="H56" s="15">
        <v>268</v>
      </c>
      <c r="I56" s="73">
        <v>480012</v>
      </c>
      <c r="J56" s="73">
        <v>488540</v>
      </c>
    </row>
    <row r="57" spans="1:10" s="2" customFormat="1" ht="25.5" customHeight="1">
      <c r="A57" s="413" t="s">
        <v>644</v>
      </c>
      <c r="B57" s="413"/>
      <c r="C57" s="413"/>
      <c r="D57" s="413"/>
      <c r="E57" s="413"/>
      <c r="F57" s="413"/>
      <c r="G57" s="426"/>
      <c r="H57" s="15">
        <v>269</v>
      </c>
      <c r="I57" s="73">
        <v>42278</v>
      </c>
      <c r="J57" s="73">
        <v>52940</v>
      </c>
    </row>
    <row r="58" spans="1:10" s="2" customFormat="1" ht="13.5" customHeight="1">
      <c r="A58" s="413" t="s">
        <v>2817</v>
      </c>
      <c r="B58" s="413"/>
      <c r="C58" s="413"/>
      <c r="D58" s="413"/>
      <c r="E58" s="413"/>
      <c r="F58" s="413"/>
      <c r="G58" s="426"/>
      <c r="H58" s="15">
        <v>270</v>
      </c>
      <c r="I58" s="73">
        <v>567848</v>
      </c>
      <c r="J58" s="73">
        <v>714014</v>
      </c>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v>337899</v>
      </c>
      <c r="J60" s="73">
        <v>347471</v>
      </c>
    </row>
    <row r="61" spans="1:10" s="2" customFormat="1" ht="13.5" customHeight="1">
      <c r="A61" s="433" t="s">
        <v>645</v>
      </c>
      <c r="B61" s="433"/>
      <c r="C61" s="433"/>
      <c r="D61" s="433"/>
      <c r="E61" s="433"/>
      <c r="F61" s="433"/>
      <c r="G61" s="434"/>
      <c r="H61" s="15">
        <v>273</v>
      </c>
      <c r="I61" s="73">
        <v>227899</v>
      </c>
      <c r="J61" s="73">
        <v>341241</v>
      </c>
    </row>
    <row r="62" spans="1:10" s="2" customFormat="1" ht="13.5" customHeight="1">
      <c r="A62" s="413" t="s">
        <v>2820</v>
      </c>
      <c r="B62" s="413"/>
      <c r="C62" s="413"/>
      <c r="D62" s="413"/>
      <c r="E62" s="413"/>
      <c r="F62" s="413"/>
      <c r="G62" s="426"/>
      <c r="H62" s="15">
        <v>274</v>
      </c>
      <c r="I62" s="73">
        <v>669383</v>
      </c>
      <c r="J62" s="73">
        <v>425450</v>
      </c>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v>179739</v>
      </c>
      <c r="J64" s="73">
        <v>185104</v>
      </c>
    </row>
    <row r="65" spans="1:10" s="2" customFormat="1" ht="13.5" customHeight="1">
      <c r="A65" s="413" t="s">
        <v>642</v>
      </c>
      <c r="B65" s="413"/>
      <c r="C65" s="413"/>
      <c r="D65" s="413"/>
      <c r="E65" s="413"/>
      <c r="F65" s="413"/>
      <c r="G65" s="426"/>
      <c r="H65" s="15">
        <v>277</v>
      </c>
      <c r="I65" s="73">
        <v>1942154</v>
      </c>
      <c r="J65" s="73">
        <v>2278879</v>
      </c>
    </row>
    <row r="66" spans="1:10" s="2" customFormat="1" ht="13.5" customHeight="1">
      <c r="A66" s="433" t="s">
        <v>2658</v>
      </c>
      <c r="B66" s="433"/>
      <c r="C66" s="433"/>
      <c r="D66" s="433"/>
      <c r="E66" s="433"/>
      <c r="F66" s="433"/>
      <c r="G66" s="434"/>
      <c r="H66" s="15">
        <v>278</v>
      </c>
      <c r="I66" s="73">
        <v>24000</v>
      </c>
      <c r="J66" s="73">
        <v>54002</v>
      </c>
    </row>
    <row r="67" spans="1:10" s="2" customFormat="1" ht="24.75" customHeight="1">
      <c r="A67" s="413" t="s">
        <v>2107</v>
      </c>
      <c r="B67" s="413"/>
      <c r="C67" s="413"/>
      <c r="D67" s="413"/>
      <c r="E67" s="413"/>
      <c r="F67" s="413"/>
      <c r="G67" s="426"/>
      <c r="H67" s="15">
        <v>279</v>
      </c>
      <c r="I67" s="73">
        <v>240797</v>
      </c>
      <c r="J67" s="73">
        <v>235945</v>
      </c>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v>3765656</v>
      </c>
      <c r="J70" s="73">
        <v>3811686</v>
      </c>
    </row>
    <row r="71" spans="1:10" s="2" customFormat="1" ht="13.5" customHeight="1">
      <c r="A71" s="425" t="s">
        <v>2055</v>
      </c>
      <c r="B71" s="425"/>
      <c r="C71" s="425"/>
      <c r="D71" s="425"/>
      <c r="E71" s="425"/>
      <c r="F71" s="425"/>
      <c r="G71" s="432"/>
      <c r="H71" s="17">
        <v>283</v>
      </c>
      <c r="I71" s="74">
        <v>10007524</v>
      </c>
      <c r="J71" s="74">
        <v>15258509</v>
      </c>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v>10432</v>
      </c>
      <c r="J73" s="90">
        <v>2850</v>
      </c>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v>44166</v>
      </c>
      <c r="J76" s="74">
        <v>47589</v>
      </c>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4874138</v>
      </c>
      <c r="J78" s="220">
        <f>SUM(J79:J82)</f>
        <v>3365330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v>3733221</v>
      </c>
      <c r="J80" s="73">
        <v>3207084</v>
      </c>
    </row>
    <row r="81" spans="1:10" s="2" customFormat="1" ht="13.5" customHeight="1">
      <c r="A81" s="413" t="s">
        <v>201</v>
      </c>
      <c r="B81" s="413"/>
      <c r="C81" s="413"/>
      <c r="D81" s="413"/>
      <c r="E81" s="413"/>
      <c r="F81" s="413"/>
      <c r="G81" s="426"/>
      <c r="H81" s="15">
        <v>291</v>
      </c>
      <c r="I81" s="73">
        <v>1140917</v>
      </c>
      <c r="J81" s="73">
        <v>158246</v>
      </c>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v>170843</v>
      </c>
    </row>
    <row r="84" spans="1:10" s="2" customFormat="1" ht="13.5" customHeight="1">
      <c r="A84" s="413" t="s">
        <v>203</v>
      </c>
      <c r="B84" s="413"/>
      <c r="C84" s="413"/>
      <c r="D84" s="413"/>
      <c r="E84" s="413"/>
      <c r="F84" s="413"/>
      <c r="G84" s="426"/>
      <c r="H84" s="15">
        <v>294</v>
      </c>
      <c r="I84" s="73">
        <v>2747759</v>
      </c>
      <c r="J84" s="73">
        <v>2972837</v>
      </c>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9"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03665720049; POLJOPRIVREDNI INSTITUT OSIJEK</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03665720049; POLJOPRIVREDNI INSTITUT OSIJEK</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row r="56" ht="12" hidden="1"/>
    <row r="57" ht="12" hidden="1"/>
    <row r="58" ht="12" hidden="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03665720049; POLJOPRIVREDNI INSTITUT OSIJEK</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Anuša Rešetar</cp:lastModifiedBy>
  <cp:lastPrinted>2023-02-02T11:15:45Z</cp:lastPrinted>
  <dcterms:created xsi:type="dcterms:W3CDTF">2008-10-17T11:51:54Z</dcterms:created>
  <dcterms:modified xsi:type="dcterms:W3CDTF">2023-02-02T11:17:14Z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